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hwinivalavan/Dropbox/"/>
    </mc:Choice>
  </mc:AlternateContent>
  <xr:revisionPtr revIDLastSave="0" documentId="13_ncr:1_{89E09498-AC61-1B48-B614-7EF79FB42A0E}" xr6:coauthVersionLast="45" xr6:coauthVersionMax="45" xr10:uidLastSave="{00000000-0000-0000-0000-000000000000}"/>
  <bookViews>
    <workbookView xWindow="160" yWindow="460" windowWidth="25440" windowHeight="14120" xr2:uid="{FB5F7D5C-4D75-8B48-B720-CFB2FB4416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" i="1" l="1"/>
  <c r="T3" i="1" l="1"/>
  <c r="T4" i="1"/>
  <c r="T5" i="1"/>
  <c r="T6" i="1"/>
  <c r="T7" i="1"/>
  <c r="T8" i="1"/>
  <c r="T9" i="1"/>
  <c r="T10" i="1"/>
  <c r="T11" i="1"/>
  <c r="T12" i="1"/>
  <c r="T2" i="1"/>
  <c r="AE287" i="1" l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286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286" i="1"/>
  <c r="T221" i="1" l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20" i="1"/>
  <c r="T218" i="1"/>
  <c r="T219" i="1"/>
  <c r="T217" i="1"/>
  <c r="Z386" i="1" l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87" i="1"/>
  <c r="Z388" i="1"/>
  <c r="Z389" i="1"/>
  <c r="Z390" i="1"/>
  <c r="Z391" i="1"/>
  <c r="Z392" i="1"/>
  <c r="Z393" i="1"/>
  <c r="Z394" i="1"/>
  <c r="Z452" i="1" l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11" i="1"/>
  <c r="J412" i="1"/>
  <c r="L412" i="1" s="1"/>
  <c r="M412" i="1" s="1"/>
  <c r="J413" i="1"/>
  <c r="L413" i="1" s="1"/>
  <c r="M413" i="1" s="1"/>
  <c r="J414" i="1"/>
  <c r="L414" i="1" s="1"/>
  <c r="M414" i="1" s="1"/>
  <c r="J415" i="1"/>
  <c r="L415" i="1" s="1"/>
  <c r="M415" i="1" s="1"/>
  <c r="J416" i="1"/>
  <c r="L416" i="1" s="1"/>
  <c r="M416" i="1" s="1"/>
  <c r="J417" i="1"/>
  <c r="L417" i="1" s="1"/>
  <c r="M417" i="1" s="1"/>
  <c r="J418" i="1"/>
  <c r="L418" i="1" s="1"/>
  <c r="M418" i="1" s="1"/>
  <c r="J419" i="1"/>
  <c r="L419" i="1" s="1"/>
  <c r="M419" i="1" s="1"/>
  <c r="J420" i="1"/>
  <c r="L420" i="1" s="1"/>
  <c r="M420" i="1" s="1"/>
  <c r="J421" i="1"/>
  <c r="L421" i="1" s="1"/>
  <c r="M421" i="1" s="1"/>
  <c r="J422" i="1"/>
  <c r="L422" i="1" s="1"/>
  <c r="M422" i="1" s="1"/>
  <c r="J423" i="1"/>
  <c r="L423" i="1" s="1"/>
  <c r="M423" i="1" s="1"/>
  <c r="J424" i="1"/>
  <c r="L424" i="1" s="1"/>
  <c r="M424" i="1" s="1"/>
  <c r="J425" i="1"/>
  <c r="L425" i="1" s="1"/>
  <c r="M425" i="1" s="1"/>
  <c r="J426" i="1"/>
  <c r="L426" i="1" s="1"/>
  <c r="M426" i="1" s="1"/>
  <c r="J427" i="1"/>
  <c r="L427" i="1" s="1"/>
  <c r="M427" i="1" s="1"/>
  <c r="J428" i="1"/>
  <c r="L428" i="1" s="1"/>
  <c r="M428" i="1" s="1"/>
  <c r="J429" i="1"/>
  <c r="L429" i="1" s="1"/>
  <c r="M429" i="1" s="1"/>
  <c r="J430" i="1"/>
  <c r="L430" i="1" s="1"/>
  <c r="M430" i="1" s="1"/>
  <c r="J431" i="1"/>
  <c r="L431" i="1" s="1"/>
  <c r="M431" i="1" s="1"/>
  <c r="J432" i="1"/>
  <c r="L432" i="1" s="1"/>
  <c r="M432" i="1" s="1"/>
  <c r="J433" i="1"/>
  <c r="L433" i="1" s="1"/>
  <c r="M433" i="1" s="1"/>
  <c r="J434" i="1"/>
  <c r="L434" i="1" s="1"/>
  <c r="M434" i="1" s="1"/>
  <c r="J435" i="1"/>
  <c r="L435" i="1" s="1"/>
  <c r="M435" i="1" s="1"/>
  <c r="J436" i="1"/>
  <c r="L436" i="1" s="1"/>
  <c r="M436" i="1" s="1"/>
  <c r="J437" i="1"/>
  <c r="L437" i="1" s="1"/>
  <c r="M437" i="1" s="1"/>
  <c r="J438" i="1"/>
  <c r="L438" i="1" s="1"/>
  <c r="M438" i="1" s="1"/>
  <c r="J411" i="1"/>
  <c r="L411" i="1" s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11" i="1"/>
  <c r="C412" i="1"/>
  <c r="E412" i="1" s="1"/>
  <c r="F412" i="1" s="1"/>
  <c r="C413" i="1"/>
  <c r="E413" i="1" s="1"/>
  <c r="F413" i="1" s="1"/>
  <c r="C414" i="1"/>
  <c r="E414" i="1" s="1"/>
  <c r="F414" i="1" s="1"/>
  <c r="C415" i="1"/>
  <c r="E415" i="1" s="1"/>
  <c r="F415" i="1" s="1"/>
  <c r="C416" i="1"/>
  <c r="E416" i="1" s="1"/>
  <c r="F416" i="1" s="1"/>
  <c r="C417" i="1"/>
  <c r="E417" i="1" s="1"/>
  <c r="F417" i="1" s="1"/>
  <c r="C418" i="1"/>
  <c r="E418" i="1" s="1"/>
  <c r="F418" i="1" s="1"/>
  <c r="C419" i="1"/>
  <c r="E419" i="1" s="1"/>
  <c r="F419" i="1" s="1"/>
  <c r="C420" i="1"/>
  <c r="E420" i="1" s="1"/>
  <c r="F420" i="1" s="1"/>
  <c r="C421" i="1"/>
  <c r="E421" i="1" s="1"/>
  <c r="F421" i="1" s="1"/>
  <c r="C422" i="1"/>
  <c r="E422" i="1" s="1"/>
  <c r="F422" i="1" s="1"/>
  <c r="C423" i="1"/>
  <c r="E423" i="1" s="1"/>
  <c r="F423" i="1" s="1"/>
  <c r="C424" i="1"/>
  <c r="E424" i="1" s="1"/>
  <c r="F424" i="1" s="1"/>
  <c r="C425" i="1"/>
  <c r="E425" i="1" s="1"/>
  <c r="F425" i="1" s="1"/>
  <c r="C426" i="1"/>
  <c r="E426" i="1" s="1"/>
  <c r="F426" i="1" s="1"/>
  <c r="C427" i="1"/>
  <c r="E427" i="1" s="1"/>
  <c r="F427" i="1" s="1"/>
  <c r="C428" i="1"/>
  <c r="E428" i="1" s="1"/>
  <c r="F428" i="1" s="1"/>
  <c r="C429" i="1"/>
  <c r="E429" i="1" s="1"/>
  <c r="F429" i="1" s="1"/>
  <c r="C430" i="1"/>
  <c r="E430" i="1" s="1"/>
  <c r="F430" i="1" s="1"/>
  <c r="C431" i="1"/>
  <c r="E431" i="1" s="1"/>
  <c r="F431" i="1" s="1"/>
  <c r="C432" i="1"/>
  <c r="E432" i="1" s="1"/>
  <c r="F432" i="1" s="1"/>
  <c r="C433" i="1"/>
  <c r="E433" i="1" s="1"/>
  <c r="F433" i="1" s="1"/>
  <c r="C434" i="1"/>
  <c r="E434" i="1" s="1"/>
  <c r="F434" i="1" s="1"/>
  <c r="C435" i="1"/>
  <c r="E435" i="1" s="1"/>
  <c r="F435" i="1" s="1"/>
  <c r="C436" i="1"/>
  <c r="E436" i="1" s="1"/>
  <c r="F436" i="1" s="1"/>
  <c r="C437" i="1"/>
  <c r="E437" i="1" s="1"/>
  <c r="F437" i="1" s="1"/>
  <c r="C438" i="1"/>
  <c r="E438" i="1" s="1"/>
  <c r="F438" i="1" s="1"/>
  <c r="C411" i="1"/>
  <c r="E411" i="1" s="1"/>
  <c r="AJ364" i="1"/>
  <c r="AK364" i="1"/>
  <c r="AL364" i="1" s="1"/>
  <c r="AM364" i="1"/>
  <c r="AN364" i="1" s="1"/>
  <c r="AO364" i="1" s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76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43" i="1"/>
  <c r="F363" i="1"/>
  <c r="G363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76" i="1"/>
  <c r="M398" i="1"/>
  <c r="O398" i="1" s="1"/>
  <c r="M397" i="1"/>
  <c r="N397" i="1" s="1"/>
  <c r="M396" i="1"/>
  <c r="O396" i="1" s="1"/>
  <c r="M395" i="1"/>
  <c r="N395" i="1" s="1"/>
  <c r="M394" i="1"/>
  <c r="O394" i="1" s="1"/>
  <c r="M393" i="1"/>
  <c r="N393" i="1" s="1"/>
  <c r="M392" i="1"/>
  <c r="O392" i="1" s="1"/>
  <c r="M391" i="1"/>
  <c r="N391" i="1" s="1"/>
  <c r="M390" i="1"/>
  <c r="O390" i="1" s="1"/>
  <c r="M389" i="1"/>
  <c r="N389" i="1" s="1"/>
  <c r="M388" i="1"/>
  <c r="O388" i="1" s="1"/>
  <c r="M387" i="1"/>
  <c r="N387" i="1" s="1"/>
  <c r="M386" i="1"/>
  <c r="O386" i="1" s="1"/>
  <c r="M385" i="1"/>
  <c r="N385" i="1" s="1"/>
  <c r="M384" i="1"/>
  <c r="O384" i="1" s="1"/>
  <c r="M383" i="1"/>
  <c r="N383" i="1" s="1"/>
  <c r="M382" i="1"/>
  <c r="O382" i="1" s="1"/>
  <c r="M381" i="1"/>
  <c r="N381" i="1" s="1"/>
  <c r="M380" i="1"/>
  <c r="O380" i="1" s="1"/>
  <c r="M379" i="1"/>
  <c r="N379" i="1" s="1"/>
  <c r="M378" i="1"/>
  <c r="O378" i="1" s="1"/>
  <c r="M377" i="1"/>
  <c r="N377" i="1" s="1"/>
  <c r="M376" i="1"/>
  <c r="N376" i="1" s="1"/>
  <c r="N396" i="1" l="1"/>
  <c r="N380" i="1"/>
  <c r="P380" i="1" s="1"/>
  <c r="N392" i="1"/>
  <c r="P392" i="1" s="1"/>
  <c r="N384" i="1"/>
  <c r="P384" i="1" s="1"/>
  <c r="O376" i="1"/>
  <c r="P376" i="1" s="1"/>
  <c r="N398" i="1"/>
  <c r="N390" i="1"/>
  <c r="P390" i="1" s="1"/>
  <c r="N382" i="1"/>
  <c r="H363" i="1"/>
  <c r="I363" i="1" s="1"/>
  <c r="N388" i="1"/>
  <c r="P388" i="1" s="1"/>
  <c r="N394" i="1"/>
  <c r="P394" i="1" s="1"/>
  <c r="N386" i="1"/>
  <c r="P386" i="1" s="1"/>
  <c r="N378" i="1"/>
  <c r="P398" i="1"/>
  <c r="P382" i="1"/>
  <c r="P396" i="1"/>
  <c r="P393" i="1"/>
  <c r="P378" i="1"/>
  <c r="O395" i="1"/>
  <c r="P395" i="1" s="1"/>
  <c r="O391" i="1"/>
  <c r="P391" i="1" s="1"/>
  <c r="O387" i="1"/>
  <c r="P387" i="1" s="1"/>
  <c r="O383" i="1"/>
  <c r="P383" i="1" s="1"/>
  <c r="O379" i="1"/>
  <c r="P379" i="1" s="1"/>
  <c r="O397" i="1"/>
  <c r="P397" i="1" s="1"/>
  <c r="O393" i="1"/>
  <c r="O389" i="1"/>
  <c r="P389" i="1" s="1"/>
  <c r="O385" i="1"/>
  <c r="P385" i="1" s="1"/>
  <c r="O381" i="1"/>
  <c r="P381" i="1" s="1"/>
  <c r="O377" i="1"/>
  <c r="P377" i="1" s="1"/>
  <c r="Q377" i="1" s="1"/>
  <c r="M287" i="1"/>
  <c r="M288" i="1"/>
  <c r="M289" i="1"/>
  <c r="Y289" i="1" s="1"/>
  <c r="M290" i="1"/>
  <c r="S290" i="1" s="1"/>
  <c r="M291" i="1"/>
  <c r="M292" i="1"/>
  <c r="M293" i="1"/>
  <c r="Y293" i="1" s="1"/>
  <c r="M294" i="1"/>
  <c r="M295" i="1"/>
  <c r="M296" i="1"/>
  <c r="M297" i="1"/>
  <c r="Y297" i="1" s="1"/>
  <c r="M298" i="1"/>
  <c r="M299" i="1"/>
  <c r="M300" i="1"/>
  <c r="M301" i="1"/>
  <c r="Y301" i="1" s="1"/>
  <c r="M302" i="1"/>
  <c r="M303" i="1"/>
  <c r="M304" i="1"/>
  <c r="M305" i="1"/>
  <c r="Y305" i="1" s="1"/>
  <c r="M306" i="1"/>
  <c r="M307" i="1"/>
  <c r="M308" i="1"/>
  <c r="M309" i="1"/>
  <c r="Y309" i="1" s="1"/>
  <c r="M310" i="1"/>
  <c r="M311" i="1"/>
  <c r="S311" i="1" s="1"/>
  <c r="M312" i="1"/>
  <c r="M313" i="1"/>
  <c r="Y313" i="1" s="1"/>
  <c r="M314" i="1"/>
  <c r="M315" i="1"/>
  <c r="M316" i="1"/>
  <c r="M317" i="1"/>
  <c r="Y317" i="1" s="1"/>
  <c r="M318" i="1"/>
  <c r="M319" i="1"/>
  <c r="M320" i="1"/>
  <c r="M321" i="1"/>
  <c r="Y321" i="1" s="1"/>
  <c r="M322" i="1"/>
  <c r="M323" i="1"/>
  <c r="M324" i="1"/>
  <c r="M286" i="1"/>
  <c r="Y286" i="1" s="1"/>
  <c r="L287" i="1"/>
  <c r="L288" i="1"/>
  <c r="L289" i="1"/>
  <c r="L290" i="1"/>
  <c r="X290" i="1" s="1"/>
  <c r="L291" i="1"/>
  <c r="L292" i="1"/>
  <c r="L293" i="1"/>
  <c r="R293" i="1" s="1"/>
  <c r="L294" i="1"/>
  <c r="X294" i="1" s="1"/>
  <c r="L295" i="1"/>
  <c r="L296" i="1"/>
  <c r="L297" i="1"/>
  <c r="L298" i="1"/>
  <c r="X298" i="1" s="1"/>
  <c r="L299" i="1"/>
  <c r="L300" i="1"/>
  <c r="L301" i="1"/>
  <c r="L302" i="1"/>
  <c r="X302" i="1" s="1"/>
  <c r="L303" i="1"/>
  <c r="L304" i="1"/>
  <c r="L305" i="1"/>
  <c r="L306" i="1"/>
  <c r="X306" i="1" s="1"/>
  <c r="L307" i="1"/>
  <c r="L308" i="1"/>
  <c r="L309" i="1"/>
  <c r="L310" i="1"/>
  <c r="X310" i="1" s="1"/>
  <c r="L311" i="1"/>
  <c r="L312" i="1"/>
  <c r="L313" i="1"/>
  <c r="L314" i="1"/>
  <c r="X314" i="1" s="1"/>
  <c r="L315" i="1"/>
  <c r="R315" i="1" s="1"/>
  <c r="L316" i="1"/>
  <c r="L317" i="1"/>
  <c r="L318" i="1"/>
  <c r="X318" i="1" s="1"/>
  <c r="L319" i="1"/>
  <c r="L320" i="1"/>
  <c r="L321" i="1"/>
  <c r="L322" i="1"/>
  <c r="X322" i="1" s="1"/>
  <c r="L323" i="1"/>
  <c r="L324" i="1"/>
  <c r="L286" i="1"/>
  <c r="K287" i="1"/>
  <c r="W287" i="1" s="1"/>
  <c r="K288" i="1"/>
  <c r="K289" i="1"/>
  <c r="K290" i="1"/>
  <c r="K291" i="1"/>
  <c r="W291" i="1" s="1"/>
  <c r="K292" i="1"/>
  <c r="K293" i="1"/>
  <c r="K294" i="1"/>
  <c r="K295" i="1"/>
  <c r="W295" i="1" s="1"/>
  <c r="K296" i="1"/>
  <c r="K297" i="1"/>
  <c r="Q297" i="1" s="1"/>
  <c r="K298" i="1"/>
  <c r="K299" i="1"/>
  <c r="W299" i="1" s="1"/>
  <c r="K300" i="1"/>
  <c r="K301" i="1"/>
  <c r="K302" i="1"/>
  <c r="K303" i="1"/>
  <c r="W303" i="1" s="1"/>
  <c r="K304" i="1"/>
  <c r="K305" i="1"/>
  <c r="K306" i="1"/>
  <c r="K307" i="1"/>
  <c r="W307" i="1" s="1"/>
  <c r="K308" i="1"/>
  <c r="K309" i="1"/>
  <c r="K310" i="1"/>
  <c r="K311" i="1"/>
  <c r="W311" i="1" s="1"/>
  <c r="K312" i="1"/>
  <c r="K313" i="1"/>
  <c r="K314" i="1"/>
  <c r="K315" i="1"/>
  <c r="W315" i="1" s="1"/>
  <c r="K316" i="1"/>
  <c r="K317" i="1"/>
  <c r="Q317" i="1" s="1"/>
  <c r="K318" i="1"/>
  <c r="K319" i="1"/>
  <c r="W319" i="1" s="1"/>
  <c r="K320" i="1"/>
  <c r="K321" i="1"/>
  <c r="K322" i="1"/>
  <c r="K323" i="1"/>
  <c r="W323" i="1" s="1"/>
  <c r="K324" i="1"/>
  <c r="K286" i="1"/>
  <c r="J287" i="1"/>
  <c r="J288" i="1"/>
  <c r="V288" i="1" s="1"/>
  <c r="J289" i="1"/>
  <c r="J290" i="1"/>
  <c r="J291" i="1"/>
  <c r="J292" i="1"/>
  <c r="V292" i="1" s="1"/>
  <c r="J293" i="1"/>
  <c r="J294" i="1"/>
  <c r="P294" i="1" s="1"/>
  <c r="J295" i="1"/>
  <c r="J296" i="1"/>
  <c r="V296" i="1" s="1"/>
  <c r="J297" i="1"/>
  <c r="J298" i="1"/>
  <c r="J299" i="1"/>
  <c r="J300" i="1"/>
  <c r="V300" i="1" s="1"/>
  <c r="J301" i="1"/>
  <c r="J302" i="1"/>
  <c r="J303" i="1"/>
  <c r="J304" i="1"/>
  <c r="V304" i="1" s="1"/>
  <c r="J305" i="1"/>
  <c r="J306" i="1"/>
  <c r="J307" i="1"/>
  <c r="J308" i="1"/>
  <c r="V308" i="1" s="1"/>
  <c r="J309" i="1"/>
  <c r="J310" i="1"/>
  <c r="P310" i="1" s="1"/>
  <c r="J311" i="1"/>
  <c r="J312" i="1"/>
  <c r="V312" i="1" s="1"/>
  <c r="J313" i="1"/>
  <c r="J314" i="1"/>
  <c r="J315" i="1"/>
  <c r="J316" i="1"/>
  <c r="V316" i="1" s="1"/>
  <c r="J317" i="1"/>
  <c r="J318" i="1"/>
  <c r="J319" i="1"/>
  <c r="J320" i="1"/>
  <c r="V320" i="1" s="1"/>
  <c r="J321" i="1"/>
  <c r="J322" i="1"/>
  <c r="J323" i="1"/>
  <c r="J324" i="1"/>
  <c r="V324" i="1" s="1"/>
  <c r="J286" i="1"/>
  <c r="I287" i="1"/>
  <c r="O287" i="1" s="1"/>
  <c r="I288" i="1"/>
  <c r="I289" i="1"/>
  <c r="U289" i="1" s="1"/>
  <c r="I290" i="1"/>
  <c r="I291" i="1"/>
  <c r="I292" i="1"/>
  <c r="I293" i="1"/>
  <c r="U293" i="1" s="1"/>
  <c r="I294" i="1"/>
  <c r="I295" i="1"/>
  <c r="I296" i="1"/>
  <c r="I297" i="1"/>
  <c r="U297" i="1" s="1"/>
  <c r="I298" i="1"/>
  <c r="I299" i="1"/>
  <c r="I300" i="1"/>
  <c r="I301" i="1"/>
  <c r="U301" i="1" s="1"/>
  <c r="I302" i="1"/>
  <c r="I303" i="1"/>
  <c r="O303" i="1" s="1"/>
  <c r="I304" i="1"/>
  <c r="I305" i="1"/>
  <c r="U305" i="1" s="1"/>
  <c r="I306" i="1"/>
  <c r="I307" i="1"/>
  <c r="I308" i="1"/>
  <c r="I309" i="1"/>
  <c r="U309" i="1" s="1"/>
  <c r="I310" i="1"/>
  <c r="I311" i="1"/>
  <c r="I312" i="1"/>
  <c r="I313" i="1"/>
  <c r="U313" i="1" s="1"/>
  <c r="I314" i="1"/>
  <c r="I315" i="1"/>
  <c r="I316" i="1"/>
  <c r="I317" i="1"/>
  <c r="U317" i="1" s="1"/>
  <c r="I318" i="1"/>
  <c r="I319" i="1"/>
  <c r="O319" i="1" s="1"/>
  <c r="I320" i="1"/>
  <c r="I321" i="1"/>
  <c r="U321" i="1" s="1"/>
  <c r="I322" i="1"/>
  <c r="I323" i="1"/>
  <c r="I324" i="1"/>
  <c r="I286" i="1"/>
  <c r="U286" i="1" s="1"/>
  <c r="H287" i="1"/>
  <c r="H288" i="1"/>
  <c r="N288" i="1" s="1"/>
  <c r="H289" i="1"/>
  <c r="H290" i="1"/>
  <c r="T290" i="1" s="1"/>
  <c r="H291" i="1"/>
  <c r="H292" i="1"/>
  <c r="N292" i="1" s="1"/>
  <c r="H293" i="1"/>
  <c r="H294" i="1"/>
  <c r="T294" i="1" s="1"/>
  <c r="H295" i="1"/>
  <c r="H296" i="1"/>
  <c r="N296" i="1" s="1"/>
  <c r="H297" i="1"/>
  <c r="H298" i="1"/>
  <c r="T298" i="1" s="1"/>
  <c r="H299" i="1"/>
  <c r="H300" i="1"/>
  <c r="N300" i="1" s="1"/>
  <c r="H301" i="1"/>
  <c r="H302" i="1"/>
  <c r="T302" i="1" s="1"/>
  <c r="H303" i="1"/>
  <c r="H304" i="1"/>
  <c r="N304" i="1" s="1"/>
  <c r="H305" i="1"/>
  <c r="H306" i="1"/>
  <c r="T306" i="1" s="1"/>
  <c r="H307" i="1"/>
  <c r="H308" i="1"/>
  <c r="N308" i="1" s="1"/>
  <c r="H309" i="1"/>
  <c r="H310" i="1"/>
  <c r="T310" i="1" s="1"/>
  <c r="H311" i="1"/>
  <c r="T311" i="1" s="1"/>
  <c r="H312" i="1"/>
  <c r="N312" i="1" s="1"/>
  <c r="H313" i="1"/>
  <c r="T313" i="1" s="1"/>
  <c r="H314" i="1"/>
  <c r="T314" i="1" s="1"/>
  <c r="H315" i="1"/>
  <c r="T315" i="1" s="1"/>
  <c r="H316" i="1"/>
  <c r="N316" i="1" s="1"/>
  <c r="H317" i="1"/>
  <c r="T317" i="1" s="1"/>
  <c r="H318" i="1"/>
  <c r="T318" i="1" s="1"/>
  <c r="H319" i="1"/>
  <c r="T319" i="1" s="1"/>
  <c r="H320" i="1"/>
  <c r="N320" i="1" s="1"/>
  <c r="H321" i="1"/>
  <c r="T321" i="1" s="1"/>
  <c r="H322" i="1"/>
  <c r="T322" i="1" s="1"/>
  <c r="H323" i="1"/>
  <c r="T323" i="1" s="1"/>
  <c r="H324" i="1"/>
  <c r="T324" i="1" s="1"/>
  <c r="H286" i="1"/>
  <c r="T286" i="1" s="1"/>
  <c r="K364" i="1" l="1"/>
  <c r="Q394" i="1"/>
  <c r="R393" i="1"/>
  <c r="Q380" i="1"/>
  <c r="R379" i="1"/>
  <c r="Q390" i="1"/>
  <c r="R389" i="1"/>
  <c r="Q379" i="1"/>
  <c r="R378" i="1"/>
  <c r="Q395" i="1"/>
  <c r="R394" i="1"/>
  <c r="Q396" i="1"/>
  <c r="R395" i="1"/>
  <c r="Q392" i="1"/>
  <c r="R391" i="1"/>
  <c r="Q383" i="1"/>
  <c r="R382" i="1"/>
  <c r="Q385" i="1"/>
  <c r="R384" i="1"/>
  <c r="Q388" i="1"/>
  <c r="R387" i="1"/>
  <c r="Q391" i="1"/>
  <c r="R390" i="1"/>
  <c r="Q381" i="1"/>
  <c r="R380" i="1"/>
  <c r="Q397" i="1"/>
  <c r="R396" i="1"/>
  <c r="Q387" i="1"/>
  <c r="R386" i="1"/>
  <c r="Q386" i="1"/>
  <c r="R385" i="1"/>
  <c r="Q382" i="1"/>
  <c r="R381" i="1"/>
  <c r="Q389" i="1"/>
  <c r="R388" i="1"/>
  <c r="Q393" i="1"/>
  <c r="R392" i="1"/>
  <c r="Q398" i="1"/>
  <c r="R397" i="1"/>
  <c r="R398" i="1"/>
  <c r="Q378" i="1"/>
  <c r="R377" i="1"/>
  <c r="Q384" i="1"/>
  <c r="R383" i="1"/>
  <c r="N309" i="1"/>
  <c r="T309" i="1"/>
  <c r="N305" i="1"/>
  <c r="T305" i="1"/>
  <c r="N301" i="1"/>
  <c r="T301" i="1"/>
  <c r="N297" i="1"/>
  <c r="T297" i="1"/>
  <c r="N293" i="1"/>
  <c r="T293" i="1"/>
  <c r="N289" i="1"/>
  <c r="T289" i="1"/>
  <c r="U324" i="1"/>
  <c r="O324" i="1"/>
  <c r="O320" i="1"/>
  <c r="U320" i="1"/>
  <c r="U316" i="1"/>
  <c r="O316" i="1"/>
  <c r="U312" i="1"/>
  <c r="O312" i="1"/>
  <c r="U308" i="1"/>
  <c r="O308" i="1"/>
  <c r="U304" i="1"/>
  <c r="O304" i="1"/>
  <c r="U300" i="1"/>
  <c r="O300" i="1"/>
  <c r="U296" i="1"/>
  <c r="O296" i="1"/>
  <c r="U292" i="1"/>
  <c r="O292" i="1"/>
  <c r="U288" i="1"/>
  <c r="O288" i="1"/>
  <c r="V323" i="1"/>
  <c r="P323" i="1"/>
  <c r="V319" i="1"/>
  <c r="P319" i="1"/>
  <c r="V315" i="1"/>
  <c r="P315" i="1"/>
  <c r="V311" i="1"/>
  <c r="P311" i="1"/>
  <c r="V307" i="1"/>
  <c r="P307" i="1"/>
  <c r="V303" i="1"/>
  <c r="P303" i="1"/>
  <c r="V299" i="1"/>
  <c r="P299" i="1"/>
  <c r="V295" i="1"/>
  <c r="P295" i="1"/>
  <c r="V291" i="1"/>
  <c r="P291" i="1"/>
  <c r="V287" i="1"/>
  <c r="P287" i="1"/>
  <c r="W322" i="1"/>
  <c r="Q322" i="1"/>
  <c r="W318" i="1"/>
  <c r="Q318" i="1"/>
  <c r="W314" i="1"/>
  <c r="Q314" i="1"/>
  <c r="W310" i="1"/>
  <c r="Q310" i="1"/>
  <c r="W306" i="1"/>
  <c r="Q306" i="1"/>
  <c r="Q302" i="1"/>
  <c r="W302" i="1"/>
  <c r="W298" i="1"/>
  <c r="Q298" i="1"/>
  <c r="W294" i="1"/>
  <c r="Q294" i="1"/>
  <c r="W290" i="1"/>
  <c r="Q290" i="1"/>
  <c r="X286" i="1"/>
  <c r="R286" i="1"/>
  <c r="X321" i="1"/>
  <c r="R321" i="1"/>
  <c r="X317" i="1"/>
  <c r="R317" i="1"/>
  <c r="X313" i="1"/>
  <c r="R313" i="1"/>
  <c r="X309" i="1"/>
  <c r="R309" i="1"/>
  <c r="X305" i="1"/>
  <c r="R305" i="1"/>
  <c r="X301" i="1"/>
  <c r="R301" i="1"/>
  <c r="X297" i="1"/>
  <c r="R297" i="1"/>
  <c r="X289" i="1"/>
  <c r="R289" i="1"/>
  <c r="Y324" i="1"/>
  <c r="S324" i="1"/>
  <c r="Y320" i="1"/>
  <c r="S320" i="1"/>
  <c r="S316" i="1"/>
  <c r="Y316" i="1"/>
  <c r="Y312" i="1"/>
  <c r="S312" i="1"/>
  <c r="Y308" i="1"/>
  <c r="S308" i="1"/>
  <c r="Y304" i="1"/>
  <c r="S304" i="1"/>
  <c r="Y300" i="1"/>
  <c r="S300" i="1"/>
  <c r="Y296" i="1"/>
  <c r="S296" i="1"/>
  <c r="Y292" i="1"/>
  <c r="S292" i="1"/>
  <c r="Y288" i="1"/>
  <c r="S288" i="1"/>
  <c r="N323" i="1"/>
  <c r="N319" i="1"/>
  <c r="N315" i="1"/>
  <c r="N310" i="1"/>
  <c r="N294" i="1"/>
  <c r="O317" i="1"/>
  <c r="O301" i="1"/>
  <c r="P324" i="1"/>
  <c r="P308" i="1"/>
  <c r="P292" i="1"/>
  <c r="Q315" i="1"/>
  <c r="Q299" i="1"/>
  <c r="R322" i="1"/>
  <c r="R306" i="1"/>
  <c r="R290" i="1"/>
  <c r="S313" i="1"/>
  <c r="S297" i="1"/>
  <c r="T320" i="1"/>
  <c r="T304" i="1"/>
  <c r="T288" i="1"/>
  <c r="V310" i="1"/>
  <c r="X315" i="1"/>
  <c r="U323" i="1"/>
  <c r="O323" i="1"/>
  <c r="O315" i="1"/>
  <c r="U315" i="1"/>
  <c r="U311" i="1"/>
  <c r="O311" i="1"/>
  <c r="O307" i="1"/>
  <c r="U307" i="1"/>
  <c r="O299" i="1"/>
  <c r="U299" i="1"/>
  <c r="U295" i="1"/>
  <c r="O295" i="1"/>
  <c r="O291" i="1"/>
  <c r="U291" i="1"/>
  <c r="P322" i="1"/>
  <c r="V322" i="1"/>
  <c r="V318" i="1"/>
  <c r="P318" i="1"/>
  <c r="P314" i="1"/>
  <c r="V314" i="1"/>
  <c r="P306" i="1"/>
  <c r="V306" i="1"/>
  <c r="V302" i="1"/>
  <c r="P302" i="1"/>
  <c r="P298" i="1"/>
  <c r="V298" i="1"/>
  <c r="P290" i="1"/>
  <c r="V290" i="1"/>
  <c r="W286" i="1"/>
  <c r="Q286" i="1"/>
  <c r="Q321" i="1"/>
  <c r="W321" i="1"/>
  <c r="Q313" i="1"/>
  <c r="W313" i="1"/>
  <c r="W309" i="1"/>
  <c r="Q309" i="1"/>
  <c r="W305" i="1"/>
  <c r="Q305" i="1"/>
  <c r="W301" i="1"/>
  <c r="Q301" i="1"/>
  <c r="W293" i="1"/>
  <c r="Q293" i="1"/>
  <c r="W289" i="1"/>
  <c r="Q289" i="1"/>
  <c r="X324" i="1"/>
  <c r="R324" i="1"/>
  <c r="R320" i="1"/>
  <c r="X320" i="1"/>
  <c r="X316" i="1"/>
  <c r="R316" i="1"/>
  <c r="X312" i="1"/>
  <c r="R312" i="1"/>
  <c r="X308" i="1"/>
  <c r="R308" i="1"/>
  <c r="X304" i="1"/>
  <c r="R304" i="1"/>
  <c r="X300" i="1"/>
  <c r="R300" i="1"/>
  <c r="X296" i="1"/>
  <c r="R296" i="1"/>
  <c r="X292" i="1"/>
  <c r="R292" i="1"/>
  <c r="R288" i="1"/>
  <c r="X288" i="1"/>
  <c r="Y323" i="1"/>
  <c r="S323" i="1"/>
  <c r="Y319" i="1"/>
  <c r="S319" i="1"/>
  <c r="Y315" i="1"/>
  <c r="S315" i="1"/>
  <c r="Y307" i="1"/>
  <c r="S307" i="1"/>
  <c r="Y303" i="1"/>
  <c r="S303" i="1"/>
  <c r="Y299" i="1"/>
  <c r="S299" i="1"/>
  <c r="S295" i="1"/>
  <c r="Y295" i="1"/>
  <c r="Y291" i="1"/>
  <c r="S291" i="1"/>
  <c r="Y287" i="1"/>
  <c r="S287" i="1"/>
  <c r="N322" i="1"/>
  <c r="N318" i="1"/>
  <c r="N314" i="1"/>
  <c r="N306" i="1"/>
  <c r="N290" i="1"/>
  <c r="O313" i="1"/>
  <c r="O297" i="1"/>
  <c r="P320" i="1"/>
  <c r="P304" i="1"/>
  <c r="P288" i="1"/>
  <c r="Q311" i="1"/>
  <c r="Q295" i="1"/>
  <c r="R318" i="1"/>
  <c r="R302" i="1"/>
  <c r="S286" i="1"/>
  <c r="S309" i="1"/>
  <c r="S293" i="1"/>
  <c r="T316" i="1"/>
  <c r="T300" i="1"/>
  <c r="U319" i="1"/>
  <c r="V294" i="1"/>
  <c r="X293" i="1"/>
  <c r="T307" i="1"/>
  <c r="N307" i="1"/>
  <c r="T303" i="1"/>
  <c r="N303" i="1"/>
  <c r="T299" i="1"/>
  <c r="N299" i="1"/>
  <c r="T295" i="1"/>
  <c r="N295" i="1"/>
  <c r="T291" i="1"/>
  <c r="N291" i="1"/>
  <c r="T287" i="1"/>
  <c r="N287" i="1"/>
  <c r="U322" i="1"/>
  <c r="O322" i="1"/>
  <c r="U318" i="1"/>
  <c r="O318" i="1"/>
  <c r="U314" i="1"/>
  <c r="O314" i="1"/>
  <c r="U310" i="1"/>
  <c r="O310" i="1"/>
  <c r="U306" i="1"/>
  <c r="O306" i="1"/>
  <c r="U302" i="1"/>
  <c r="O302" i="1"/>
  <c r="U298" i="1"/>
  <c r="O298" i="1"/>
  <c r="U294" i="1"/>
  <c r="O294" i="1"/>
  <c r="U290" i="1"/>
  <c r="O290" i="1"/>
  <c r="V286" i="1"/>
  <c r="P286" i="1"/>
  <c r="V321" i="1"/>
  <c r="P321" i="1"/>
  <c r="V317" i="1"/>
  <c r="P317" i="1"/>
  <c r="V313" i="1"/>
  <c r="P313" i="1"/>
  <c r="V309" i="1"/>
  <c r="P309" i="1"/>
  <c r="V305" i="1"/>
  <c r="P305" i="1"/>
  <c r="V301" i="1"/>
  <c r="P301" i="1"/>
  <c r="V297" i="1"/>
  <c r="P297" i="1"/>
  <c r="V293" i="1"/>
  <c r="P293" i="1"/>
  <c r="V289" i="1"/>
  <c r="P289" i="1"/>
  <c r="W324" i="1"/>
  <c r="Q324" i="1"/>
  <c r="W320" i="1"/>
  <c r="Q320" i="1"/>
  <c r="W316" i="1"/>
  <c r="Q316" i="1"/>
  <c r="W312" i="1"/>
  <c r="Q312" i="1"/>
  <c r="W308" i="1"/>
  <c r="Q308" i="1"/>
  <c r="W304" i="1"/>
  <c r="Q304" i="1"/>
  <c r="W300" i="1"/>
  <c r="Q300" i="1"/>
  <c r="W296" i="1"/>
  <c r="Q296" i="1"/>
  <c r="W292" i="1"/>
  <c r="Q292" i="1"/>
  <c r="W288" i="1"/>
  <c r="Q288" i="1"/>
  <c r="X323" i="1"/>
  <c r="R323" i="1"/>
  <c r="X319" i="1"/>
  <c r="R319" i="1"/>
  <c r="X311" i="1"/>
  <c r="R311" i="1"/>
  <c r="X307" i="1"/>
  <c r="R307" i="1"/>
  <c r="X303" i="1"/>
  <c r="R303" i="1"/>
  <c r="X299" i="1"/>
  <c r="R299" i="1"/>
  <c r="X295" i="1"/>
  <c r="R295" i="1"/>
  <c r="X291" i="1"/>
  <c r="R291" i="1"/>
  <c r="X287" i="1"/>
  <c r="R287" i="1"/>
  <c r="Y322" i="1"/>
  <c r="S322" i="1"/>
  <c r="Y318" i="1"/>
  <c r="S318" i="1"/>
  <c r="Y314" i="1"/>
  <c r="S314" i="1"/>
  <c r="Y310" i="1"/>
  <c r="S310" i="1"/>
  <c r="Y306" i="1"/>
  <c r="S306" i="1"/>
  <c r="Y302" i="1"/>
  <c r="S302" i="1"/>
  <c r="Y298" i="1"/>
  <c r="S298" i="1"/>
  <c r="Y294" i="1"/>
  <c r="S294" i="1"/>
  <c r="N286" i="1"/>
  <c r="N321" i="1"/>
  <c r="N317" i="1"/>
  <c r="N313" i="1"/>
  <c r="N302" i="1"/>
  <c r="O286" i="1"/>
  <c r="O309" i="1"/>
  <c r="O293" i="1"/>
  <c r="P316" i="1"/>
  <c r="P300" i="1"/>
  <c r="Q323" i="1"/>
  <c r="Q307" i="1"/>
  <c r="Q291" i="1"/>
  <c r="R314" i="1"/>
  <c r="R298" i="1"/>
  <c r="S321" i="1"/>
  <c r="S305" i="1"/>
  <c r="S289" i="1"/>
  <c r="T312" i="1"/>
  <c r="T296" i="1"/>
  <c r="U303" i="1"/>
  <c r="W317" i="1"/>
  <c r="Y311" i="1"/>
  <c r="N324" i="1"/>
  <c r="N311" i="1"/>
  <c r="N298" i="1"/>
  <c r="O321" i="1"/>
  <c r="O305" i="1"/>
  <c r="O289" i="1"/>
  <c r="P312" i="1"/>
  <c r="P296" i="1"/>
  <c r="Q319" i="1"/>
  <c r="Q303" i="1"/>
  <c r="Q287" i="1"/>
  <c r="R310" i="1"/>
  <c r="R294" i="1"/>
  <c r="S317" i="1"/>
  <c r="S301" i="1"/>
  <c r="T308" i="1"/>
  <c r="T292" i="1"/>
  <c r="U287" i="1"/>
  <c r="W297" i="1"/>
  <c r="Y290" i="1"/>
  <c r="AM344" i="1"/>
  <c r="AN344" i="1" s="1"/>
  <c r="AO344" i="1" s="1"/>
  <c r="AM345" i="1"/>
  <c r="AN345" i="1" s="1"/>
  <c r="AO345" i="1" s="1"/>
  <c r="AM346" i="1"/>
  <c r="AN346" i="1" s="1"/>
  <c r="AO346" i="1" s="1"/>
  <c r="AM347" i="1"/>
  <c r="AN347" i="1" s="1"/>
  <c r="AO347" i="1" s="1"/>
  <c r="AM348" i="1"/>
  <c r="AN348" i="1" s="1"/>
  <c r="AO348" i="1" s="1"/>
  <c r="AM349" i="1"/>
  <c r="AN349" i="1" s="1"/>
  <c r="AO349" i="1" s="1"/>
  <c r="AM350" i="1"/>
  <c r="AN350" i="1" s="1"/>
  <c r="AO350" i="1" s="1"/>
  <c r="AM351" i="1"/>
  <c r="AN351" i="1" s="1"/>
  <c r="AO351" i="1" s="1"/>
  <c r="AM352" i="1"/>
  <c r="AN352" i="1" s="1"/>
  <c r="AO352" i="1" s="1"/>
  <c r="AM353" i="1"/>
  <c r="AN353" i="1" s="1"/>
  <c r="AO353" i="1" s="1"/>
  <c r="AM354" i="1"/>
  <c r="AN354" i="1" s="1"/>
  <c r="AO354" i="1" s="1"/>
  <c r="AM355" i="1"/>
  <c r="AN355" i="1" s="1"/>
  <c r="AO355" i="1" s="1"/>
  <c r="AM356" i="1"/>
  <c r="AN356" i="1" s="1"/>
  <c r="AO356" i="1" s="1"/>
  <c r="AM357" i="1"/>
  <c r="AN357" i="1" s="1"/>
  <c r="AO357" i="1" s="1"/>
  <c r="AM358" i="1"/>
  <c r="AN358" i="1" s="1"/>
  <c r="AO358" i="1" s="1"/>
  <c r="AM359" i="1"/>
  <c r="AN359" i="1" s="1"/>
  <c r="AO359" i="1" s="1"/>
  <c r="AM360" i="1"/>
  <c r="AN360" i="1" s="1"/>
  <c r="AO360" i="1" s="1"/>
  <c r="AM361" i="1"/>
  <c r="AN361" i="1" s="1"/>
  <c r="AO361" i="1" s="1"/>
  <c r="AM362" i="1"/>
  <c r="AN362" i="1" s="1"/>
  <c r="AO362" i="1" s="1"/>
  <c r="AM363" i="1"/>
  <c r="AN363" i="1" s="1"/>
  <c r="AO363" i="1" s="1"/>
  <c r="AM343" i="1"/>
  <c r="AN343" i="1" s="1"/>
  <c r="AO343" i="1" s="1"/>
  <c r="AJ363" i="1"/>
  <c r="AK363" i="1" s="1"/>
  <c r="AL363" i="1" s="1"/>
  <c r="AJ357" i="1"/>
  <c r="AK357" i="1" s="1"/>
  <c r="AL357" i="1" s="1"/>
  <c r="AJ358" i="1"/>
  <c r="AK358" i="1" s="1"/>
  <c r="AL358" i="1" s="1"/>
  <c r="AJ359" i="1"/>
  <c r="AK359" i="1" s="1"/>
  <c r="AL359" i="1" s="1"/>
  <c r="AJ360" i="1"/>
  <c r="AK360" i="1" s="1"/>
  <c r="AL360" i="1" s="1"/>
  <c r="AJ361" i="1"/>
  <c r="AK361" i="1" s="1"/>
  <c r="AL361" i="1" s="1"/>
  <c r="AJ362" i="1"/>
  <c r="AK362" i="1" s="1"/>
  <c r="AL362" i="1" s="1"/>
  <c r="AJ344" i="1"/>
  <c r="AK344" i="1" s="1"/>
  <c r="AL344" i="1" s="1"/>
  <c r="AJ345" i="1"/>
  <c r="AK345" i="1" s="1"/>
  <c r="AL345" i="1" s="1"/>
  <c r="AJ346" i="1"/>
  <c r="AK346" i="1" s="1"/>
  <c r="AL346" i="1" s="1"/>
  <c r="AJ347" i="1"/>
  <c r="AK347" i="1" s="1"/>
  <c r="AL347" i="1" s="1"/>
  <c r="AJ348" i="1"/>
  <c r="AK348" i="1" s="1"/>
  <c r="AL348" i="1" s="1"/>
  <c r="AJ349" i="1"/>
  <c r="AK349" i="1" s="1"/>
  <c r="AL349" i="1" s="1"/>
  <c r="AJ350" i="1"/>
  <c r="AK350" i="1" s="1"/>
  <c r="AL350" i="1" s="1"/>
  <c r="AJ351" i="1"/>
  <c r="AK351" i="1" s="1"/>
  <c r="AL351" i="1" s="1"/>
  <c r="AJ352" i="1"/>
  <c r="AK352" i="1" s="1"/>
  <c r="AL352" i="1" s="1"/>
  <c r="AJ353" i="1"/>
  <c r="AK353" i="1" s="1"/>
  <c r="AL353" i="1" s="1"/>
  <c r="AJ354" i="1"/>
  <c r="AK354" i="1" s="1"/>
  <c r="AL354" i="1" s="1"/>
  <c r="AJ355" i="1"/>
  <c r="AK355" i="1" s="1"/>
  <c r="AL355" i="1" s="1"/>
  <c r="AJ356" i="1"/>
  <c r="AK356" i="1" s="1"/>
  <c r="AL356" i="1" s="1"/>
  <c r="AJ343" i="1"/>
  <c r="AK343" i="1" s="1"/>
  <c r="L219" i="1" l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18" i="1"/>
  <c r="I219" i="1"/>
  <c r="I220" i="1"/>
  <c r="I221" i="1"/>
  <c r="I222" i="1"/>
  <c r="I223" i="1"/>
  <c r="I224" i="1"/>
  <c r="O224" i="1" s="1"/>
  <c r="R224" i="1" s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18" i="1"/>
  <c r="N218" i="1" s="1"/>
  <c r="G218" i="1"/>
  <c r="M218" i="1" s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M234" i="1" s="1"/>
  <c r="P234" i="1" s="1"/>
  <c r="G235" i="1"/>
  <c r="G236" i="1"/>
  <c r="G219" i="1"/>
  <c r="N221" i="1" l="1"/>
  <c r="Q221" i="1" s="1"/>
  <c r="M235" i="1"/>
  <c r="P235" i="1" s="1"/>
  <c r="M231" i="1"/>
  <c r="P231" i="1" s="1"/>
  <c r="M227" i="1"/>
  <c r="P227" i="1" s="1"/>
  <c r="M223" i="1"/>
  <c r="P223" i="1" s="1"/>
  <c r="N234" i="1"/>
  <c r="Q234" i="1" s="1"/>
  <c r="N230" i="1"/>
  <c r="Q230" i="1" s="1"/>
  <c r="N226" i="1"/>
  <c r="Q226" i="1" s="1"/>
  <c r="N222" i="1"/>
  <c r="Q222" i="1" s="1"/>
  <c r="O218" i="1"/>
  <c r="O233" i="1"/>
  <c r="R233" i="1" s="1"/>
  <c r="O229" i="1"/>
  <c r="R229" i="1" s="1"/>
  <c r="O225" i="1"/>
  <c r="R225" i="1" s="1"/>
  <c r="O221" i="1"/>
  <c r="R221" i="1" s="1"/>
  <c r="M230" i="1"/>
  <c r="P230" i="1" s="1"/>
  <c r="M226" i="1"/>
  <c r="P226" i="1" s="1"/>
  <c r="M222" i="1"/>
  <c r="P222" i="1" s="1"/>
  <c r="N233" i="1"/>
  <c r="Q233" i="1" s="1"/>
  <c r="N229" i="1"/>
  <c r="Q229" i="1" s="1"/>
  <c r="N225" i="1"/>
  <c r="Q225" i="1" s="1"/>
  <c r="O236" i="1"/>
  <c r="R236" i="1" s="1"/>
  <c r="O232" i="1"/>
  <c r="R232" i="1" s="1"/>
  <c r="O228" i="1"/>
  <c r="R228" i="1" s="1"/>
  <c r="O220" i="1"/>
  <c r="R220" i="1" s="1"/>
  <c r="M219" i="1"/>
  <c r="P219" i="1" s="1"/>
  <c r="M236" i="1"/>
  <c r="P236" i="1" s="1"/>
  <c r="M232" i="1"/>
  <c r="P232" i="1" s="1"/>
  <c r="M228" i="1"/>
  <c r="P228" i="1" s="1"/>
  <c r="M224" i="1"/>
  <c r="P224" i="1" s="1"/>
  <c r="M220" i="1"/>
  <c r="P220" i="1" s="1"/>
  <c r="N235" i="1"/>
  <c r="Q235" i="1" s="1"/>
  <c r="N231" i="1"/>
  <c r="Q231" i="1" s="1"/>
  <c r="N227" i="1"/>
  <c r="Q227" i="1" s="1"/>
  <c r="N223" i="1"/>
  <c r="Q223" i="1" s="1"/>
  <c r="N219" i="1"/>
  <c r="Q219" i="1" s="1"/>
  <c r="O234" i="1"/>
  <c r="R234" i="1" s="1"/>
  <c r="O230" i="1"/>
  <c r="R230" i="1" s="1"/>
  <c r="O226" i="1"/>
  <c r="R226" i="1" s="1"/>
  <c r="O222" i="1"/>
  <c r="R222" i="1" s="1"/>
  <c r="M233" i="1"/>
  <c r="P233" i="1" s="1"/>
  <c r="M229" i="1"/>
  <c r="P229" i="1" s="1"/>
  <c r="M225" i="1"/>
  <c r="P225" i="1" s="1"/>
  <c r="M221" i="1"/>
  <c r="P221" i="1" s="1"/>
  <c r="N236" i="1"/>
  <c r="Q236" i="1" s="1"/>
  <c r="N232" i="1"/>
  <c r="Q232" i="1" s="1"/>
  <c r="N228" i="1"/>
  <c r="Q228" i="1" s="1"/>
  <c r="N224" i="1"/>
  <c r="Q224" i="1" s="1"/>
  <c r="N220" i="1"/>
  <c r="Q220" i="1" s="1"/>
  <c r="O235" i="1"/>
  <c r="R235" i="1" s="1"/>
  <c r="O231" i="1"/>
  <c r="R231" i="1" s="1"/>
  <c r="O227" i="1"/>
  <c r="R227" i="1" s="1"/>
  <c r="O223" i="1"/>
  <c r="R223" i="1" s="1"/>
  <c r="O219" i="1"/>
  <c r="R219" i="1" s="1"/>
  <c r="S3" i="1"/>
  <c r="S4" i="1"/>
  <c r="S5" i="1"/>
  <c r="S6" i="1"/>
  <c r="S7" i="1"/>
  <c r="S8" i="1"/>
  <c r="S9" i="1"/>
  <c r="S10" i="1"/>
  <c r="S11" i="1"/>
  <c r="S12" i="1"/>
  <c r="S342" i="1" l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41" i="1"/>
  <c r="T341" i="1" l="1"/>
  <c r="T352" i="1"/>
  <c r="U352" i="1" s="1"/>
  <c r="T360" i="1"/>
  <c r="T356" i="1"/>
  <c r="T348" i="1"/>
  <c r="T344" i="1"/>
  <c r="U344" i="1" s="1"/>
  <c r="U348" i="1"/>
  <c r="T362" i="1"/>
  <c r="T354" i="1"/>
  <c r="U360" i="1"/>
  <c r="T358" i="1"/>
  <c r="T350" i="1"/>
  <c r="T343" i="1"/>
  <c r="T359" i="1"/>
  <c r="V359" i="1" s="1"/>
  <c r="T347" i="1"/>
  <c r="T342" i="1"/>
  <c r="V342" i="1" s="1"/>
  <c r="T363" i="1"/>
  <c r="T355" i="1"/>
  <c r="V355" i="1" s="1"/>
  <c r="T351" i="1"/>
  <c r="T346" i="1"/>
  <c r="T361" i="1"/>
  <c r="V361" i="1" s="1"/>
  <c r="T357" i="1"/>
  <c r="T353" i="1"/>
  <c r="T349" i="1"/>
  <c r="V349" i="1" s="1"/>
  <c r="T345" i="1"/>
  <c r="F138" i="1"/>
  <c r="F139" i="1"/>
  <c r="F140" i="1"/>
  <c r="F141" i="1"/>
  <c r="F137" i="1"/>
  <c r="E138" i="1"/>
  <c r="E139" i="1"/>
  <c r="E140" i="1"/>
  <c r="E141" i="1"/>
  <c r="E137" i="1"/>
  <c r="F130" i="1"/>
  <c r="F131" i="1"/>
  <c r="F132" i="1"/>
  <c r="F133" i="1"/>
  <c r="F129" i="1"/>
  <c r="E130" i="1"/>
  <c r="E131" i="1"/>
  <c r="E132" i="1"/>
  <c r="E133" i="1"/>
  <c r="E129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41" i="1"/>
  <c r="V356" i="1" l="1"/>
  <c r="V345" i="1"/>
  <c r="V363" i="1"/>
  <c r="V343" i="1"/>
  <c r="V360" i="1"/>
  <c r="V353" i="1"/>
  <c r="V348" i="1"/>
  <c r="V346" i="1"/>
  <c r="V350" i="1"/>
  <c r="U356" i="1"/>
  <c r="V351" i="1"/>
  <c r="V347" i="1"/>
  <c r="V358" i="1"/>
  <c r="V354" i="1"/>
  <c r="V344" i="1"/>
  <c r="V352" i="1"/>
  <c r="V357" i="1"/>
  <c r="V362" i="1"/>
  <c r="U357" i="1"/>
  <c r="U359" i="1"/>
  <c r="U345" i="1"/>
  <c r="U363" i="1"/>
  <c r="U349" i="1"/>
  <c r="U346" i="1"/>
  <c r="U342" i="1"/>
  <c r="U350" i="1"/>
  <c r="U354" i="1"/>
  <c r="U355" i="1"/>
  <c r="U361" i="1"/>
  <c r="U343" i="1"/>
  <c r="U353" i="1"/>
  <c r="U351" i="1"/>
  <c r="U347" i="1"/>
  <c r="U358" i="1"/>
  <c r="U362" i="1"/>
  <c r="H342" i="1"/>
  <c r="H362" i="1"/>
  <c r="H358" i="1"/>
  <c r="H354" i="1"/>
  <c r="H350" i="1"/>
  <c r="J350" i="1" s="1"/>
  <c r="H346" i="1"/>
  <c r="H361" i="1"/>
  <c r="H357" i="1"/>
  <c r="H353" i="1"/>
  <c r="J353" i="1" s="1"/>
  <c r="H349" i="1"/>
  <c r="H345" i="1"/>
  <c r="H360" i="1"/>
  <c r="H356" i="1"/>
  <c r="H352" i="1"/>
  <c r="H348" i="1"/>
  <c r="H344" i="1"/>
  <c r="H341" i="1"/>
  <c r="H359" i="1"/>
  <c r="H355" i="1"/>
  <c r="H351" i="1"/>
  <c r="H347" i="1"/>
  <c r="J347" i="1" s="1"/>
  <c r="H343" i="1"/>
  <c r="I343" i="1" s="1"/>
  <c r="G66" i="1"/>
  <c r="G67" i="1"/>
  <c r="G68" i="1"/>
  <c r="G69" i="1"/>
  <c r="G70" i="1"/>
  <c r="G65" i="1"/>
  <c r="J66" i="1"/>
  <c r="J67" i="1"/>
  <c r="J68" i="1"/>
  <c r="J69" i="1"/>
  <c r="J70" i="1"/>
  <c r="J65" i="1"/>
  <c r="G61" i="1"/>
  <c r="G57" i="1"/>
  <c r="G58" i="1"/>
  <c r="G59" i="1"/>
  <c r="G60" i="1"/>
  <c r="G56" i="1"/>
  <c r="J57" i="1"/>
  <c r="J58" i="1"/>
  <c r="J59" i="1"/>
  <c r="J60" i="1"/>
  <c r="J61" i="1"/>
  <c r="J56" i="1"/>
  <c r="J355" i="1" l="1"/>
  <c r="J348" i="1"/>
  <c r="J345" i="1"/>
  <c r="J361" i="1"/>
  <c r="J358" i="1"/>
  <c r="J352" i="1"/>
  <c r="J343" i="1"/>
  <c r="J359" i="1"/>
  <c r="J349" i="1"/>
  <c r="J346" i="1"/>
  <c r="J362" i="1"/>
  <c r="J363" i="1"/>
  <c r="J342" i="1"/>
  <c r="J356" i="1"/>
  <c r="J351" i="1"/>
  <c r="J344" i="1"/>
  <c r="J360" i="1"/>
  <c r="J357" i="1"/>
  <c r="J354" i="1"/>
  <c r="I351" i="1"/>
  <c r="K351" i="1" s="1"/>
  <c r="I344" i="1"/>
  <c r="K344" i="1" s="1"/>
  <c r="I360" i="1"/>
  <c r="I357" i="1"/>
  <c r="I354" i="1"/>
  <c r="K354" i="1" s="1"/>
  <c r="I355" i="1"/>
  <c r="I348" i="1"/>
  <c r="I345" i="1"/>
  <c r="K345" i="1" s="1"/>
  <c r="I361" i="1"/>
  <c r="K361" i="1" s="1"/>
  <c r="I358" i="1"/>
  <c r="I359" i="1"/>
  <c r="K359" i="1" s="1"/>
  <c r="I352" i="1"/>
  <c r="I349" i="1"/>
  <c r="K349" i="1" s="1"/>
  <c r="I346" i="1"/>
  <c r="I362" i="1"/>
  <c r="I347" i="1"/>
  <c r="K347" i="1" s="1"/>
  <c r="I356" i="1"/>
  <c r="K356" i="1" s="1"/>
  <c r="I353" i="1"/>
  <c r="I350" i="1"/>
  <c r="I342" i="1"/>
  <c r="K343" i="1" s="1"/>
  <c r="K352" i="1" l="1"/>
  <c r="K357" i="1"/>
  <c r="K350" i="1"/>
  <c r="K362" i="1"/>
  <c r="K363" i="1"/>
  <c r="K348" i="1"/>
  <c r="K360" i="1"/>
  <c r="K353" i="1"/>
  <c r="K346" i="1"/>
  <c r="K358" i="1"/>
  <c r="K355" i="1"/>
</calcChain>
</file>

<file path=xl/sharedStrings.xml><?xml version="1.0" encoding="utf-8"?>
<sst xmlns="http://schemas.openxmlformats.org/spreadsheetml/2006/main" count="224" uniqueCount="121">
  <si>
    <t>Time taken for spraying CO (secs)</t>
  </si>
  <si>
    <t>Temperature (ºC)</t>
  </si>
  <si>
    <t>Conc(ppm)</t>
  </si>
  <si>
    <t>Time taken to reach constant value (secs)</t>
  </si>
  <si>
    <t>6 (emptied)</t>
  </si>
  <si>
    <t>Average</t>
  </si>
  <si>
    <t>SD</t>
  </si>
  <si>
    <t>average</t>
  </si>
  <si>
    <t xml:space="preserve">spraying time </t>
  </si>
  <si>
    <t>Conc</t>
  </si>
  <si>
    <t>time</t>
  </si>
  <si>
    <t>voltage</t>
  </si>
  <si>
    <t>Rl/Vl</t>
  </si>
  <si>
    <t>(5-Vl)</t>
  </si>
  <si>
    <t>resistance</t>
  </si>
  <si>
    <t>response</t>
  </si>
  <si>
    <t xml:space="preserve"> </t>
  </si>
  <si>
    <t>conc(ppm)</t>
  </si>
  <si>
    <t>expeirment fan on</t>
  </si>
  <si>
    <t>temp=22ºC</t>
  </si>
  <si>
    <t>response time (s)</t>
  </si>
  <si>
    <t>experiment fan on 2</t>
  </si>
  <si>
    <t>temp=22.4ºC</t>
  </si>
  <si>
    <t>expeirment 3</t>
  </si>
  <si>
    <t>temp=23.7ºC</t>
  </si>
  <si>
    <t>response time(s)</t>
  </si>
  <si>
    <t>spray</t>
  </si>
  <si>
    <t>std dev</t>
  </si>
  <si>
    <t>conc</t>
  </si>
  <si>
    <t>temp</t>
  </si>
  <si>
    <t xml:space="preserve">Average </t>
  </si>
  <si>
    <t>Percentage %</t>
  </si>
  <si>
    <t>Left side (temp ºC)</t>
  </si>
  <si>
    <t>Right side (temp ºC)</t>
  </si>
  <si>
    <t>Middle front(temp ºC)</t>
  </si>
  <si>
    <t>Middlemiddle(temp ºC)</t>
  </si>
  <si>
    <t>Right side  (tempºC)</t>
  </si>
  <si>
    <t>Middle front (temp ºC)</t>
  </si>
  <si>
    <t>Middle middle (temp ºC)</t>
  </si>
  <si>
    <t>Vacuum forming</t>
  </si>
  <si>
    <t>spraying and opening the lid for each cummulative spraying</t>
  </si>
  <si>
    <t>concentration average (for experiment one with reference sensor)</t>
  </si>
  <si>
    <t>average response (for experiment one with reference sensor)</t>
  </si>
  <si>
    <t xml:space="preserve">cummulative time </t>
  </si>
  <si>
    <t>Cummuative time</t>
  </si>
  <si>
    <t xml:space="preserve">conc(ppm) </t>
  </si>
  <si>
    <t>Measured</t>
  </si>
  <si>
    <t>Datasheet</t>
  </si>
  <si>
    <t>difference</t>
  </si>
  <si>
    <t>conc1</t>
  </si>
  <si>
    <t>Rl/Vl 1</t>
  </si>
  <si>
    <t>Rl/Vl 2</t>
  </si>
  <si>
    <t>Rl/Vl 3</t>
  </si>
  <si>
    <t>(5-Vl) 1</t>
  </si>
  <si>
    <t>(5-Vl) 3</t>
  </si>
  <si>
    <t>resistance 1</t>
  </si>
  <si>
    <t>resistance 2</t>
  </si>
  <si>
    <t>resistance 3</t>
  </si>
  <si>
    <t>(5-Vl) 2</t>
  </si>
  <si>
    <t>response 1</t>
  </si>
  <si>
    <t>response 2</t>
  </si>
  <si>
    <t>response 3</t>
  </si>
  <si>
    <t>power supply -5V</t>
  </si>
  <si>
    <t>current - 0.03A</t>
  </si>
  <si>
    <t>sensors</t>
  </si>
  <si>
    <t xml:space="preserve">without fan </t>
  </si>
  <si>
    <t>power supply - 5V</t>
  </si>
  <si>
    <t>with fan- 20s</t>
  </si>
  <si>
    <t xml:space="preserve">voltage </t>
  </si>
  <si>
    <t>sample 1</t>
  </si>
  <si>
    <t>sample 2</t>
  </si>
  <si>
    <t>sample 3</t>
  </si>
  <si>
    <t>sample4</t>
  </si>
  <si>
    <t>sample 5</t>
  </si>
  <si>
    <t>sample 6</t>
  </si>
  <si>
    <t>sample2</t>
  </si>
  <si>
    <t>sample3</t>
  </si>
  <si>
    <t>sample5</t>
  </si>
  <si>
    <t>sample6</t>
  </si>
  <si>
    <t>Average -measured</t>
  </si>
  <si>
    <t>Voltage (V)</t>
  </si>
  <si>
    <t>Time (s)</t>
  </si>
  <si>
    <t>Sensors</t>
  </si>
  <si>
    <t>Sample 1</t>
  </si>
  <si>
    <t>Sample 2</t>
  </si>
  <si>
    <t>Sample 3</t>
  </si>
  <si>
    <t>Sample 4</t>
  </si>
  <si>
    <t>Sample 5</t>
  </si>
  <si>
    <t>Sample 6</t>
  </si>
  <si>
    <t>time(s)</t>
  </si>
  <si>
    <t>Sensor 1</t>
  </si>
  <si>
    <t>Sensor 2</t>
  </si>
  <si>
    <t>Sensor 3</t>
  </si>
  <si>
    <t>Sensor 4</t>
  </si>
  <si>
    <t>Sensor 5</t>
  </si>
  <si>
    <t>Sensor 6</t>
  </si>
  <si>
    <t>|act-meas|</t>
  </si>
  <si>
    <t>|sct-mea|/act</t>
  </si>
  <si>
    <t>`</t>
  </si>
  <si>
    <t>sensor1</t>
  </si>
  <si>
    <t>Rl/vl 1</t>
  </si>
  <si>
    <t>5-vl 1</t>
  </si>
  <si>
    <t>R1</t>
  </si>
  <si>
    <t>R2</t>
  </si>
  <si>
    <t>R3</t>
  </si>
  <si>
    <t>R4</t>
  </si>
  <si>
    <t>R5</t>
  </si>
  <si>
    <t>R6</t>
  </si>
  <si>
    <t>Heating time evaluation</t>
  </si>
  <si>
    <t>Spray</t>
  </si>
  <si>
    <t>con(ppm)</t>
  </si>
  <si>
    <t>response time</t>
  </si>
  <si>
    <t>Experimetn with sample 4</t>
  </si>
  <si>
    <t>rl/vl</t>
  </si>
  <si>
    <t>5-vl</t>
  </si>
  <si>
    <t>Fan on ttop</t>
  </si>
  <si>
    <t>conc (ppm)</t>
  </si>
  <si>
    <t xml:space="preserve">response </t>
  </si>
  <si>
    <t xml:space="preserve">fan on top opposite end </t>
  </si>
  <si>
    <t>5-/vl</t>
  </si>
  <si>
    <t>%change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</si>
</sst>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concentration (ppm)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Sheet1!$G$56:$G$61</c:f>
                <c:numCache>
                  <c:formatCode>General</c:formatCode>
                  <c:ptCount val="6"/>
                  <c:pt idx="0">
                    <c:v>5.4772255750516612</c:v>
                  </c:pt>
                  <c:pt idx="1">
                    <c:v>10.801234497346433</c:v>
                  </c:pt>
                  <c:pt idx="2">
                    <c:v>50.73131840063558</c:v>
                  </c:pt>
                  <c:pt idx="3">
                    <c:v>26.36127209879422</c:v>
                  </c:pt>
                  <c:pt idx="4">
                    <c:v>40.443376054264647</c:v>
                  </c:pt>
                  <c:pt idx="5">
                    <c:v>52.848052628896994</c:v>
                  </c:pt>
                </c:numCache>
              </c:numRef>
            </c:plus>
            <c:minus>
              <c:numRef>
                <c:f>Sheet1!$G$56:$G$61</c:f>
                <c:numCache>
                  <c:formatCode>General</c:formatCode>
                  <c:ptCount val="6"/>
                  <c:pt idx="0">
                    <c:v>5.4772255750516612</c:v>
                  </c:pt>
                  <c:pt idx="1">
                    <c:v>10.801234497346433</c:v>
                  </c:pt>
                  <c:pt idx="2">
                    <c:v>50.73131840063558</c:v>
                  </c:pt>
                  <c:pt idx="3">
                    <c:v>26.36127209879422</c:v>
                  </c:pt>
                  <c:pt idx="4">
                    <c:v>40.443376054264647</c:v>
                  </c:pt>
                  <c:pt idx="5">
                    <c:v>52.848052628896994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Sheet1!$A$56:$A$61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 (emptied)</c:v>
                </c:pt>
              </c:strCache>
            </c:strRef>
          </c:xVal>
          <c:yVal>
            <c:numRef>
              <c:f>Sheet1!$J$56:$J$61</c:f>
              <c:numCache>
                <c:formatCode>General</c:formatCode>
                <c:ptCount val="6"/>
                <c:pt idx="0">
                  <c:v>59</c:v>
                </c:pt>
                <c:pt idx="1">
                  <c:v>190</c:v>
                </c:pt>
                <c:pt idx="2">
                  <c:v>361.5</c:v>
                </c:pt>
                <c:pt idx="3">
                  <c:v>590.25</c:v>
                </c:pt>
                <c:pt idx="4">
                  <c:v>729.5</c:v>
                </c:pt>
                <c:pt idx="5">
                  <c:v>788.75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08-994A-891E-C2D93F316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813999"/>
        <c:axId val="1314565311"/>
      </c:scatterChart>
      <c:valAx>
        <c:axId val="1259813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Cummulative total time for spraying CO (secs)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565311"/>
        <c:crosses val="autoZero"/>
        <c:crossBetween val="midCat"/>
      </c:valAx>
      <c:valAx>
        <c:axId val="131456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concnetration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13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  <a:r>
              <a:rPr lang="en-US" baseline="0"/>
              <a:t> Vs Voltage across load resistor for sensor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318815067878111E-2"/>
          <c:y val="7.2601318594588432E-2"/>
          <c:w val="0.89379693297762863"/>
          <c:h val="0.85223277803555009"/>
        </c:manualLayout>
      </c:layout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Sheet1!$A$218:$A$236</c:f>
              <c:numCache>
                <c:formatCode>General</c:formatCode>
                <c:ptCount val="19"/>
                <c:pt idx="0">
                  <c:v>0</c:v>
                </c:pt>
                <c:pt idx="1">
                  <c:v>7</c:v>
                </c:pt>
                <c:pt idx="2">
                  <c:v>10</c:v>
                </c:pt>
                <c:pt idx="3">
                  <c:v>23</c:v>
                </c:pt>
                <c:pt idx="4">
                  <c:v>41</c:v>
                </c:pt>
                <c:pt idx="5">
                  <c:v>45</c:v>
                </c:pt>
                <c:pt idx="6">
                  <c:v>52</c:v>
                </c:pt>
                <c:pt idx="7">
                  <c:v>59</c:v>
                </c:pt>
                <c:pt idx="8">
                  <c:v>63</c:v>
                </c:pt>
                <c:pt idx="9">
                  <c:v>69</c:v>
                </c:pt>
                <c:pt idx="10">
                  <c:v>73</c:v>
                </c:pt>
                <c:pt idx="11">
                  <c:v>76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88</c:v>
                </c:pt>
                <c:pt idx="16">
                  <c:v>90</c:v>
                </c:pt>
                <c:pt idx="17">
                  <c:v>93</c:v>
                </c:pt>
                <c:pt idx="18">
                  <c:v>98</c:v>
                </c:pt>
              </c:numCache>
            </c:numRef>
          </c:xVal>
          <c:yVal>
            <c:numRef>
              <c:f>Sheet1!$B$218:$B$236</c:f>
              <c:numCache>
                <c:formatCode>General</c:formatCode>
                <c:ptCount val="19"/>
                <c:pt idx="0">
                  <c:v>1.5900000000000001E-2</c:v>
                </c:pt>
                <c:pt idx="1">
                  <c:v>1.8100000000000002E-2</c:v>
                </c:pt>
                <c:pt idx="2">
                  <c:v>1.9599999999999999E-2</c:v>
                </c:pt>
                <c:pt idx="3">
                  <c:v>2.2700000000000001E-2</c:v>
                </c:pt>
                <c:pt idx="4">
                  <c:v>2.6200000000000001E-2</c:v>
                </c:pt>
                <c:pt idx="5">
                  <c:v>2.7099999999999999E-2</c:v>
                </c:pt>
                <c:pt idx="6">
                  <c:v>2.8299999999999999E-2</c:v>
                </c:pt>
                <c:pt idx="7">
                  <c:v>2.9399999999999999E-2</c:v>
                </c:pt>
                <c:pt idx="8">
                  <c:v>3.04E-2</c:v>
                </c:pt>
                <c:pt idx="9">
                  <c:v>3.1399999999999997E-2</c:v>
                </c:pt>
                <c:pt idx="10">
                  <c:v>3.2000000000000001E-2</c:v>
                </c:pt>
                <c:pt idx="11">
                  <c:v>3.27E-2</c:v>
                </c:pt>
                <c:pt idx="12">
                  <c:v>3.3300000000000003E-2</c:v>
                </c:pt>
                <c:pt idx="13">
                  <c:v>3.3799999999999997E-2</c:v>
                </c:pt>
                <c:pt idx="14">
                  <c:v>3.44E-2</c:v>
                </c:pt>
                <c:pt idx="15">
                  <c:v>3.5000000000000003E-2</c:v>
                </c:pt>
                <c:pt idx="16">
                  <c:v>3.5400000000000001E-2</c:v>
                </c:pt>
                <c:pt idx="17">
                  <c:v>3.5799999999999998E-2</c:v>
                </c:pt>
                <c:pt idx="18">
                  <c:v>3.6499999999999998E-2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BEC-EB48-8965-5436711E0D9C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Sheet1!$C$218:$C$236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27</c:v>
                </c:pt>
                <c:pt idx="6">
                  <c:v>31</c:v>
                </c:pt>
                <c:pt idx="7">
                  <c:v>37</c:v>
                </c:pt>
                <c:pt idx="8">
                  <c:v>42</c:v>
                </c:pt>
                <c:pt idx="9">
                  <c:v>49</c:v>
                </c:pt>
                <c:pt idx="10">
                  <c:v>53</c:v>
                </c:pt>
                <c:pt idx="11">
                  <c:v>59</c:v>
                </c:pt>
                <c:pt idx="12">
                  <c:v>61</c:v>
                </c:pt>
                <c:pt idx="13">
                  <c:v>67</c:v>
                </c:pt>
                <c:pt idx="14">
                  <c:v>72</c:v>
                </c:pt>
                <c:pt idx="15">
                  <c:v>76</c:v>
                </c:pt>
                <c:pt idx="16">
                  <c:v>80</c:v>
                </c:pt>
                <c:pt idx="17">
                  <c:v>85</c:v>
                </c:pt>
                <c:pt idx="18">
                  <c:v>88</c:v>
                </c:pt>
              </c:numCache>
            </c:numRef>
          </c:xVal>
          <c:yVal>
            <c:numRef>
              <c:f>Sheet1!$D$218:$D$236</c:f>
              <c:numCache>
                <c:formatCode>General</c:formatCode>
                <c:ptCount val="19"/>
                <c:pt idx="0">
                  <c:v>1.5800000000000002E-2</c:v>
                </c:pt>
                <c:pt idx="1">
                  <c:v>1.8700000000000001E-2</c:v>
                </c:pt>
                <c:pt idx="2">
                  <c:v>2.0500000000000001E-2</c:v>
                </c:pt>
                <c:pt idx="3">
                  <c:v>2.18E-2</c:v>
                </c:pt>
                <c:pt idx="4">
                  <c:v>2.3E-2</c:v>
                </c:pt>
                <c:pt idx="5">
                  <c:v>2.47E-2</c:v>
                </c:pt>
                <c:pt idx="6">
                  <c:v>2.58E-2</c:v>
                </c:pt>
                <c:pt idx="7">
                  <c:v>2.7300000000000001E-2</c:v>
                </c:pt>
                <c:pt idx="8">
                  <c:v>2.8899999999999999E-2</c:v>
                </c:pt>
                <c:pt idx="9">
                  <c:v>3.0200000000000001E-2</c:v>
                </c:pt>
                <c:pt idx="10">
                  <c:v>3.1300000000000001E-2</c:v>
                </c:pt>
                <c:pt idx="11">
                  <c:v>3.2199999999999999E-2</c:v>
                </c:pt>
                <c:pt idx="12">
                  <c:v>3.3599999999999998E-2</c:v>
                </c:pt>
                <c:pt idx="13">
                  <c:v>3.4500000000000003E-2</c:v>
                </c:pt>
                <c:pt idx="14">
                  <c:v>3.5700000000000003E-2</c:v>
                </c:pt>
                <c:pt idx="15">
                  <c:v>3.6499999999999998E-2</c:v>
                </c:pt>
                <c:pt idx="16">
                  <c:v>3.7400000000000003E-2</c:v>
                </c:pt>
                <c:pt idx="17">
                  <c:v>3.8100000000000002E-2</c:v>
                </c:pt>
                <c:pt idx="18">
                  <c:v>3.8899999999999997E-2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BEC-EB48-8965-5436711E0D9C}"/>
            </c:ext>
          </c:extLst>
        </c:ser>
        <c:ser>
          <c:idx val="2"/>
          <c:order val="2"/>
          <c:tx>
            <c:v>Test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Sheet1!$E$218:$E$236</c:f>
              <c:numCache>
                <c:formatCode>General</c:formatCode>
                <c:ptCount val="19"/>
                <c:pt idx="0">
                  <c:v>0</c:v>
                </c:pt>
                <c:pt idx="1">
                  <c:v>18</c:v>
                </c:pt>
                <c:pt idx="2">
                  <c:v>29</c:v>
                </c:pt>
                <c:pt idx="3">
                  <c:v>40</c:v>
                </c:pt>
                <c:pt idx="4">
                  <c:v>51</c:v>
                </c:pt>
                <c:pt idx="5">
                  <c:v>63</c:v>
                </c:pt>
                <c:pt idx="6">
                  <c:v>76</c:v>
                </c:pt>
                <c:pt idx="7">
                  <c:v>89</c:v>
                </c:pt>
                <c:pt idx="8">
                  <c:v>100</c:v>
                </c:pt>
                <c:pt idx="9">
                  <c:v>112</c:v>
                </c:pt>
                <c:pt idx="10">
                  <c:v>125</c:v>
                </c:pt>
                <c:pt idx="11">
                  <c:v>139</c:v>
                </c:pt>
                <c:pt idx="12">
                  <c:v>154</c:v>
                </c:pt>
                <c:pt idx="13">
                  <c:v>165</c:v>
                </c:pt>
                <c:pt idx="14">
                  <c:v>180</c:v>
                </c:pt>
                <c:pt idx="15">
                  <c:v>193</c:v>
                </c:pt>
                <c:pt idx="16">
                  <c:v>210</c:v>
                </c:pt>
                <c:pt idx="17">
                  <c:v>222</c:v>
                </c:pt>
                <c:pt idx="18">
                  <c:v>232</c:v>
                </c:pt>
              </c:numCache>
            </c:numRef>
          </c:xVal>
          <c:yVal>
            <c:numRef>
              <c:f>Sheet1!$F$218:$F$236</c:f>
              <c:numCache>
                <c:formatCode>General</c:formatCode>
                <c:ptCount val="19"/>
                <c:pt idx="0">
                  <c:v>1.5800000000000002E-2</c:v>
                </c:pt>
                <c:pt idx="1">
                  <c:v>2.12E-2</c:v>
                </c:pt>
                <c:pt idx="2">
                  <c:v>2.3900000000000001E-2</c:v>
                </c:pt>
                <c:pt idx="3">
                  <c:v>2.5999999999999999E-2</c:v>
                </c:pt>
                <c:pt idx="4">
                  <c:v>2.8400000000000002E-2</c:v>
                </c:pt>
                <c:pt idx="5">
                  <c:v>3.0700000000000002E-2</c:v>
                </c:pt>
                <c:pt idx="6">
                  <c:v>3.3700000000000001E-2</c:v>
                </c:pt>
                <c:pt idx="7">
                  <c:v>3.6499999999999998E-2</c:v>
                </c:pt>
                <c:pt idx="8">
                  <c:v>3.73E-2</c:v>
                </c:pt>
                <c:pt idx="9">
                  <c:v>3.8800000000000001E-2</c:v>
                </c:pt>
                <c:pt idx="10">
                  <c:v>4.0399999999999998E-2</c:v>
                </c:pt>
                <c:pt idx="11">
                  <c:v>4.19E-2</c:v>
                </c:pt>
                <c:pt idx="12">
                  <c:v>4.3299999999999998E-2</c:v>
                </c:pt>
                <c:pt idx="13">
                  <c:v>4.4299999999999999E-2</c:v>
                </c:pt>
                <c:pt idx="14">
                  <c:v>4.58E-2</c:v>
                </c:pt>
                <c:pt idx="15">
                  <c:v>4.7E-2</c:v>
                </c:pt>
                <c:pt idx="16">
                  <c:v>4.8300000000000003E-2</c:v>
                </c:pt>
                <c:pt idx="17">
                  <c:v>4.8599999999999997E-2</c:v>
                </c:pt>
                <c:pt idx="18">
                  <c:v>4.9299999999999997E-2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BEC-EB48-8965-5436711E0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679888"/>
        <c:axId val="1419620512"/>
      </c:scatterChart>
      <c:valAx>
        <c:axId val="144867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9620512"/>
        <c:crosses val="autoZero"/>
        <c:crossBetween val="midCat"/>
      </c:valAx>
      <c:valAx>
        <c:axId val="141962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across load resistor(V)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867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731025390515892"/>
          <c:y val="9.2284202299601825E-2"/>
          <c:w val="6.9370347212067113E-2"/>
          <c:h val="0.12145997782277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and actual concentrations of sample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Sheet1!$S$375</c:f>
              <c:strCache>
                <c:ptCount val="1"/>
                <c:pt idx="0">
                  <c:v>conc1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Sheet1!$S$376:$S$397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F4-4A40-AA3C-25BB50115BED}"/>
            </c:ext>
          </c:extLst>
        </c:ser>
        <c:ser>
          <c:idx val="1"/>
          <c:order val="1"/>
          <c:tx>
            <c:strRef>
              <c:f>Sheet1!$T$375</c:f>
              <c:strCache>
                <c:ptCount val="1"/>
                <c:pt idx="0">
                  <c:v>conc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Sheet1!$T$376:$T$397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38</c:v>
                </c:pt>
                <c:pt idx="3">
                  <c:v>61</c:v>
                </c:pt>
                <c:pt idx="4">
                  <c:v>81</c:v>
                </c:pt>
                <c:pt idx="5">
                  <c:v>98</c:v>
                </c:pt>
                <c:pt idx="6">
                  <c:v>112</c:v>
                </c:pt>
                <c:pt idx="7">
                  <c:v>129</c:v>
                </c:pt>
                <c:pt idx="8">
                  <c:v>146</c:v>
                </c:pt>
                <c:pt idx="9">
                  <c:v>165</c:v>
                </c:pt>
                <c:pt idx="10">
                  <c:v>182</c:v>
                </c:pt>
                <c:pt idx="11">
                  <c:v>199</c:v>
                </c:pt>
                <c:pt idx="12">
                  <c:v>223</c:v>
                </c:pt>
                <c:pt idx="13">
                  <c:v>239</c:v>
                </c:pt>
                <c:pt idx="14">
                  <c:v>253</c:v>
                </c:pt>
                <c:pt idx="15">
                  <c:v>273</c:v>
                </c:pt>
                <c:pt idx="16">
                  <c:v>288</c:v>
                </c:pt>
                <c:pt idx="17">
                  <c:v>304</c:v>
                </c:pt>
                <c:pt idx="18">
                  <c:v>320</c:v>
                </c:pt>
                <c:pt idx="19">
                  <c:v>336</c:v>
                </c:pt>
                <c:pt idx="20">
                  <c:v>351</c:v>
                </c:pt>
                <c:pt idx="21">
                  <c:v>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F4-4A40-AA3C-25BB50115BED}"/>
            </c:ext>
          </c:extLst>
        </c:ser>
        <c:ser>
          <c:idx val="2"/>
          <c:order val="2"/>
          <c:tx>
            <c:strRef>
              <c:f>Sheet1!$V$375</c:f>
              <c:strCache>
                <c:ptCount val="1"/>
                <c:pt idx="0">
                  <c:v>Average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Sheet1!$V$376:$V$397</c:f>
              <c:numCache>
                <c:formatCode>General</c:formatCode>
                <c:ptCount val="22"/>
                <c:pt idx="0">
                  <c:v>0</c:v>
                </c:pt>
                <c:pt idx="1">
                  <c:v>19</c:v>
                </c:pt>
                <c:pt idx="2">
                  <c:v>36.666666666666664</c:v>
                </c:pt>
                <c:pt idx="3">
                  <c:v>54</c:v>
                </c:pt>
                <c:pt idx="4">
                  <c:v>71.333333333333329</c:v>
                </c:pt>
                <c:pt idx="5">
                  <c:v>86.666666666666671</c:v>
                </c:pt>
                <c:pt idx="6">
                  <c:v>100.66666666666667</c:v>
                </c:pt>
                <c:pt idx="7">
                  <c:v>116</c:v>
                </c:pt>
                <c:pt idx="8">
                  <c:v>134</c:v>
                </c:pt>
                <c:pt idx="9">
                  <c:v>152.33333333333334</c:v>
                </c:pt>
                <c:pt idx="10">
                  <c:v>167</c:v>
                </c:pt>
                <c:pt idx="11">
                  <c:v>180.33333333333334</c:v>
                </c:pt>
                <c:pt idx="12">
                  <c:v>196.66666666666666</c:v>
                </c:pt>
                <c:pt idx="13">
                  <c:v>209.66666666666666</c:v>
                </c:pt>
                <c:pt idx="14">
                  <c:v>223</c:v>
                </c:pt>
                <c:pt idx="15">
                  <c:v>237.66666666666666</c:v>
                </c:pt>
                <c:pt idx="16">
                  <c:v>250</c:v>
                </c:pt>
                <c:pt idx="17">
                  <c:v>263.33333333333331</c:v>
                </c:pt>
                <c:pt idx="18">
                  <c:v>277.66666666666669</c:v>
                </c:pt>
                <c:pt idx="19">
                  <c:v>290.66666666666669</c:v>
                </c:pt>
                <c:pt idx="20">
                  <c:v>304</c:v>
                </c:pt>
                <c:pt idx="21">
                  <c:v>478.66666666666669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4-4A40-AA3C-25BB50115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536832"/>
        <c:axId val="272814976"/>
      </c:lineChart>
      <c:catAx>
        <c:axId val="302536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14976"/>
        <c:crosses val="autoZero"/>
        <c:auto val="1"/>
        <c:lblAlgn val="ctr"/>
        <c:lblOffset val="100"/>
        <c:noMultiLvlLbl val="0"/>
      </c:catAx>
      <c:valAx>
        <c:axId val="27281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response 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53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Concentration vs Response (sensor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58253353844385E-2"/>
          <c:y val="9.7066288992009309E-2"/>
          <c:w val="0.91202312938752728"/>
          <c:h val="0.8076734262846063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Sheet1!$A$219:$A$236</c:f>
              <c:numCache>
                <c:formatCode>General</c:formatCode>
                <c:ptCount val="18"/>
                <c:pt idx="0">
                  <c:v>7</c:v>
                </c:pt>
                <c:pt idx="1">
                  <c:v>10</c:v>
                </c:pt>
                <c:pt idx="2">
                  <c:v>23</c:v>
                </c:pt>
                <c:pt idx="3">
                  <c:v>41</c:v>
                </c:pt>
                <c:pt idx="4">
                  <c:v>45</c:v>
                </c:pt>
                <c:pt idx="5">
                  <c:v>52</c:v>
                </c:pt>
                <c:pt idx="6">
                  <c:v>59</c:v>
                </c:pt>
                <c:pt idx="7">
                  <c:v>63</c:v>
                </c:pt>
                <c:pt idx="8">
                  <c:v>69</c:v>
                </c:pt>
                <c:pt idx="9">
                  <c:v>73</c:v>
                </c:pt>
                <c:pt idx="10">
                  <c:v>76</c:v>
                </c:pt>
                <c:pt idx="11">
                  <c:v>80</c:v>
                </c:pt>
                <c:pt idx="12">
                  <c:v>82</c:v>
                </c:pt>
                <c:pt idx="13">
                  <c:v>84</c:v>
                </c:pt>
                <c:pt idx="14">
                  <c:v>88</c:v>
                </c:pt>
                <c:pt idx="15">
                  <c:v>90</c:v>
                </c:pt>
                <c:pt idx="16">
                  <c:v>93</c:v>
                </c:pt>
                <c:pt idx="17">
                  <c:v>98</c:v>
                </c:pt>
              </c:numCache>
            </c:numRef>
          </c:xVal>
          <c:yVal>
            <c:numRef>
              <c:f>Sheet1!$P$219:$P$236</c:f>
              <c:numCache>
                <c:formatCode>General</c:formatCode>
                <c:ptCount val="18"/>
                <c:pt idx="0">
                  <c:v>0.87806540659789933</c:v>
                </c:pt>
                <c:pt idx="1">
                  <c:v>0.81062237968246298</c:v>
                </c:pt>
                <c:pt idx="2">
                  <c:v>0.6994849864306234</c:v>
                </c:pt>
                <c:pt idx="3">
                  <c:v>0.6056161711501975</c:v>
                </c:pt>
                <c:pt idx="4">
                  <c:v>0.58539751120102412</c:v>
                </c:pt>
                <c:pt idx="5">
                  <c:v>0.56043973072195019</c:v>
                </c:pt>
                <c:pt idx="6">
                  <c:v>0.53935153808926328</c:v>
                </c:pt>
                <c:pt idx="7">
                  <c:v>0.52150477219497382</c:v>
                </c:pt>
                <c:pt idx="8">
                  <c:v>0.50479474298184945</c:v>
                </c:pt>
                <c:pt idx="9">
                  <c:v>0.49527002633036832</c:v>
                </c:pt>
                <c:pt idx="10">
                  <c:v>0.48459962510714955</c:v>
                </c:pt>
                <c:pt idx="11">
                  <c:v>0.47581062023860388</c:v>
                </c:pt>
                <c:pt idx="12">
                  <c:v>0.46872481010050127</c:v>
                </c:pt>
                <c:pt idx="13">
                  <c:v>0.46049373530054244</c:v>
                </c:pt>
                <c:pt idx="14">
                  <c:v>0.45254486877943934</c:v>
                </c:pt>
                <c:pt idx="15">
                  <c:v>0.447395320600043</c:v>
                </c:pt>
                <c:pt idx="16">
                  <c:v>0.4423608461229796</c:v>
                </c:pt>
                <c:pt idx="17">
                  <c:v>0.43381603259273072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77-FE4F-AFA7-B9C10F1D173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Sheet1!$C$219:$C$236</c:f>
              <c:numCache>
                <c:formatCode>General</c:formatCode>
                <c:ptCount val="18"/>
                <c:pt idx="0">
                  <c:v>5</c:v>
                </c:pt>
                <c:pt idx="1">
                  <c:v>12</c:v>
                </c:pt>
                <c:pt idx="2">
                  <c:v>16</c:v>
                </c:pt>
                <c:pt idx="3">
                  <c:v>20</c:v>
                </c:pt>
                <c:pt idx="4">
                  <c:v>27</c:v>
                </c:pt>
                <c:pt idx="5">
                  <c:v>31</c:v>
                </c:pt>
                <c:pt idx="6">
                  <c:v>37</c:v>
                </c:pt>
                <c:pt idx="7">
                  <c:v>42</c:v>
                </c:pt>
                <c:pt idx="8">
                  <c:v>49</c:v>
                </c:pt>
                <c:pt idx="9">
                  <c:v>53</c:v>
                </c:pt>
                <c:pt idx="10">
                  <c:v>59</c:v>
                </c:pt>
                <c:pt idx="11">
                  <c:v>61</c:v>
                </c:pt>
                <c:pt idx="12">
                  <c:v>67</c:v>
                </c:pt>
                <c:pt idx="13">
                  <c:v>72</c:v>
                </c:pt>
                <c:pt idx="14">
                  <c:v>76</c:v>
                </c:pt>
                <c:pt idx="15">
                  <c:v>80</c:v>
                </c:pt>
                <c:pt idx="16">
                  <c:v>85</c:v>
                </c:pt>
                <c:pt idx="17">
                  <c:v>88</c:v>
                </c:pt>
              </c:numCache>
            </c:numRef>
          </c:xVal>
          <c:yVal>
            <c:numRef>
              <c:f>Sheet1!$Q$219:$Q$238</c:f>
              <c:numCache>
                <c:formatCode>General</c:formatCode>
                <c:ptCount val="20"/>
                <c:pt idx="0">
                  <c:v>0.84442808410130488</c:v>
                </c:pt>
                <c:pt idx="1">
                  <c:v>0.77000483620870619</c:v>
                </c:pt>
                <c:pt idx="2">
                  <c:v>0.72389807891336777</c:v>
                </c:pt>
                <c:pt idx="3">
                  <c:v>0.68596409130583202</c:v>
                </c:pt>
                <c:pt idx="4">
                  <c:v>0.6385338085549791</c:v>
                </c:pt>
                <c:pt idx="5">
                  <c:v>0.61117434312870045</c:v>
                </c:pt>
                <c:pt idx="6">
                  <c:v>0.57741915851186321</c:v>
                </c:pt>
                <c:pt idx="7">
                  <c:v>0.5452758131604668</c:v>
                </c:pt>
                <c:pt idx="8">
                  <c:v>0.52166721782683556</c:v>
                </c:pt>
                <c:pt idx="9">
                  <c:v>0.50322245877900706</c:v>
                </c:pt>
                <c:pt idx="10">
                  <c:v>0.48906863181909821</c:v>
                </c:pt>
                <c:pt idx="11">
                  <c:v>0.46855868812256335</c:v>
                </c:pt>
                <c:pt idx="12">
                  <c:v>0.45625272190464244</c:v>
                </c:pt>
                <c:pt idx="13">
                  <c:v>0.440809940768428</c:v>
                </c:pt>
                <c:pt idx="14">
                  <c:v>0.43107887320314225</c:v>
                </c:pt>
                <c:pt idx="15">
                  <c:v>0.42062903360178422</c:v>
                </c:pt>
                <c:pt idx="16">
                  <c:v>0.41284269934063816</c:v>
                </c:pt>
                <c:pt idx="17">
                  <c:v>0.40428716790128866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77-FE4F-AFA7-B9C10F1D173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Sheet1!$E$219:$E$237</c:f>
              <c:numCache>
                <c:formatCode>General</c:formatCode>
                <c:ptCount val="19"/>
                <c:pt idx="0">
                  <c:v>18</c:v>
                </c:pt>
                <c:pt idx="1">
                  <c:v>29</c:v>
                </c:pt>
                <c:pt idx="2">
                  <c:v>40</c:v>
                </c:pt>
                <c:pt idx="3">
                  <c:v>51</c:v>
                </c:pt>
                <c:pt idx="4">
                  <c:v>63</c:v>
                </c:pt>
                <c:pt idx="5">
                  <c:v>76</c:v>
                </c:pt>
                <c:pt idx="6">
                  <c:v>89</c:v>
                </c:pt>
                <c:pt idx="7">
                  <c:v>100</c:v>
                </c:pt>
                <c:pt idx="8">
                  <c:v>112</c:v>
                </c:pt>
                <c:pt idx="9">
                  <c:v>125</c:v>
                </c:pt>
                <c:pt idx="10">
                  <c:v>139</c:v>
                </c:pt>
                <c:pt idx="11">
                  <c:v>154</c:v>
                </c:pt>
                <c:pt idx="12">
                  <c:v>165</c:v>
                </c:pt>
                <c:pt idx="13">
                  <c:v>180</c:v>
                </c:pt>
                <c:pt idx="14">
                  <c:v>193</c:v>
                </c:pt>
                <c:pt idx="15">
                  <c:v>210</c:v>
                </c:pt>
                <c:pt idx="16">
                  <c:v>222</c:v>
                </c:pt>
                <c:pt idx="17">
                  <c:v>232</c:v>
                </c:pt>
              </c:numCache>
            </c:numRef>
          </c:xVal>
          <c:yVal>
            <c:numRef>
              <c:f>Sheet1!$R$219:$R$238</c:f>
              <c:numCache>
                <c:formatCode>General</c:formatCode>
                <c:ptCount val="20"/>
                <c:pt idx="0">
                  <c:v>0.74447547785141799</c:v>
                </c:pt>
                <c:pt idx="1">
                  <c:v>0.66001343451155525</c:v>
                </c:pt>
                <c:pt idx="2">
                  <c:v>0.60644861728234323</c:v>
                </c:pt>
                <c:pt idx="3">
                  <c:v>0.55493154960515334</c:v>
                </c:pt>
                <c:pt idx="4">
                  <c:v>0.51311938012773817</c:v>
                </c:pt>
                <c:pt idx="5">
                  <c:v>0.46715889968036667</c:v>
                </c:pt>
                <c:pt idx="6">
                  <c:v>0.43107887320314225</c:v>
                </c:pt>
                <c:pt idx="7">
                  <c:v>0.42176522408569717</c:v>
                </c:pt>
                <c:pt idx="8">
                  <c:v>0.40533731528479117</c:v>
                </c:pt>
                <c:pt idx="9">
                  <c:v>0.38915880707954259</c:v>
                </c:pt>
                <c:pt idx="10">
                  <c:v>0.37511362245028446</c:v>
                </c:pt>
                <c:pt idx="11">
                  <c:v>0.36288274265612208</c:v>
                </c:pt>
                <c:pt idx="12">
                  <c:v>0.35461970067973708</c:v>
                </c:pt>
                <c:pt idx="13">
                  <c:v>0.34290169682894639</c:v>
                </c:pt>
                <c:pt idx="14">
                  <c:v>0.33406582328698853</c:v>
                </c:pt>
                <c:pt idx="15">
                  <c:v>0.32498908224681994</c:v>
                </c:pt>
                <c:pt idx="16">
                  <c:v>0.32296340879531032</c:v>
                </c:pt>
                <c:pt idx="17">
                  <c:v>0.31833271106741728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77-FE4F-AFA7-B9C10F1D1736}"/>
            </c:ext>
          </c:extLst>
        </c:ser>
        <c:ser>
          <c:idx val="3"/>
          <c:order val="3"/>
          <c:tx>
            <c:v>Datasheet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Sheet1!$S$217:$S$270</c:f>
              <c:numCache>
                <c:formatCode>General</c:formatCode>
                <c:ptCount val="54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23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37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45</c:v>
                </c:pt>
                <c:pt idx="16">
                  <c:v>49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59</c:v>
                </c:pt>
                <c:pt idx="21">
                  <c:v>59</c:v>
                </c:pt>
                <c:pt idx="22">
                  <c:v>61</c:v>
                </c:pt>
                <c:pt idx="23">
                  <c:v>63</c:v>
                </c:pt>
                <c:pt idx="24">
                  <c:v>63</c:v>
                </c:pt>
                <c:pt idx="25">
                  <c:v>67</c:v>
                </c:pt>
                <c:pt idx="26">
                  <c:v>69</c:v>
                </c:pt>
                <c:pt idx="27">
                  <c:v>72</c:v>
                </c:pt>
                <c:pt idx="28">
                  <c:v>73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80</c:v>
                </c:pt>
                <c:pt idx="33">
                  <c:v>80</c:v>
                </c:pt>
                <c:pt idx="34">
                  <c:v>82</c:v>
                </c:pt>
                <c:pt idx="35">
                  <c:v>84</c:v>
                </c:pt>
                <c:pt idx="36">
                  <c:v>85</c:v>
                </c:pt>
                <c:pt idx="37">
                  <c:v>88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93</c:v>
                </c:pt>
                <c:pt idx="42">
                  <c:v>98</c:v>
                </c:pt>
                <c:pt idx="43">
                  <c:v>100</c:v>
                </c:pt>
                <c:pt idx="44">
                  <c:v>112</c:v>
                </c:pt>
                <c:pt idx="45">
                  <c:v>125</c:v>
                </c:pt>
                <c:pt idx="46">
                  <c:v>139</c:v>
                </c:pt>
                <c:pt idx="47">
                  <c:v>154</c:v>
                </c:pt>
                <c:pt idx="48">
                  <c:v>165</c:v>
                </c:pt>
                <c:pt idx="49">
                  <c:v>180</c:v>
                </c:pt>
                <c:pt idx="50">
                  <c:v>193</c:v>
                </c:pt>
                <c:pt idx="51">
                  <c:v>210</c:v>
                </c:pt>
                <c:pt idx="52">
                  <c:v>222</c:v>
                </c:pt>
                <c:pt idx="53">
                  <c:v>232</c:v>
                </c:pt>
              </c:numCache>
            </c:numRef>
          </c:xVal>
          <c:yVal>
            <c:numRef>
              <c:f>Sheet1!$T$217:$T$275</c:f>
              <c:numCache>
                <c:formatCode>General</c:formatCode>
                <c:ptCount val="59"/>
                <c:pt idx="0">
                  <c:v>0.90626801851852146</c:v>
                </c:pt>
                <c:pt idx="1">
                  <c:v>0.6826794789029148</c:v>
                </c:pt>
                <c:pt idx="2">
                  <c:v>0.50557943241332148</c:v>
                </c:pt>
                <c:pt idx="3">
                  <c:v>0.43362946910647271</c:v>
                </c:pt>
                <c:pt idx="4">
                  <c:v>0.34034578197467913</c:v>
                </c:pt>
                <c:pt idx="5">
                  <c:v>0.3082122874729577</c:v>
                </c:pt>
                <c:pt idx="6">
                  <c:v>0.28204742665113969</c:v>
                </c:pt>
                <c:pt idx="7">
                  <c:v>0.25073476842558717</c:v>
                </c:pt>
                <c:pt idx="8">
                  <c:v>0.21906909220228327</c:v>
                </c:pt>
                <c:pt idx="9">
                  <c:v>0.20627675167512508</c:v>
                </c:pt>
                <c:pt idx="10">
                  <c:v>0.19501268048299736</c:v>
                </c:pt>
                <c:pt idx="11">
                  <c:v>0.1680209927257145</c:v>
                </c:pt>
                <c:pt idx="12">
                  <c:v>0.1573457023376213</c:v>
                </c:pt>
                <c:pt idx="13">
                  <c:v>0.15410807324123257</c:v>
                </c:pt>
                <c:pt idx="14">
                  <c:v>0.15101270799021221</c:v>
                </c:pt>
                <c:pt idx="15">
                  <c:v>0.14249002458659923</c:v>
                </c:pt>
                <c:pt idx="16">
                  <c:v>0.13263077233704865</c:v>
                </c:pt>
                <c:pt idx="17">
                  <c:v>0.12823757881174289</c:v>
                </c:pt>
                <c:pt idx="18">
                  <c:v>0.12615793818946788</c:v>
                </c:pt>
                <c:pt idx="19">
                  <c:v>0.12415068376780046</c:v>
                </c:pt>
                <c:pt idx="20">
                  <c:v>0.11343106357053409</c:v>
                </c:pt>
                <c:pt idx="21">
                  <c:v>0.11343106357053409</c:v>
                </c:pt>
                <c:pt idx="22">
                  <c:v>0.11029140695555881</c:v>
                </c:pt>
                <c:pt idx="23">
                  <c:v>0.10733581429107338</c:v>
                </c:pt>
                <c:pt idx="24">
                  <c:v>0.10733581429107338</c:v>
                </c:pt>
                <c:pt idx="25">
                  <c:v>0.10191413298027743</c:v>
                </c:pt>
                <c:pt idx="26">
                  <c:v>9.9421077043226072E-2</c:v>
                </c:pt>
                <c:pt idx="27">
                  <c:v>9.5921383925821918E-2</c:v>
                </c:pt>
                <c:pt idx="28">
                  <c:v>9.4813799337250926E-2</c:v>
                </c:pt>
                <c:pt idx="29">
                  <c:v>9.1652507939151709E-2</c:v>
                </c:pt>
                <c:pt idx="30">
                  <c:v>9.1652507939151709E-2</c:v>
                </c:pt>
                <c:pt idx="31">
                  <c:v>9.1652507939151709E-2</c:v>
                </c:pt>
                <c:pt idx="32">
                  <c:v>8.7778393648461614E-2</c:v>
                </c:pt>
                <c:pt idx="33">
                  <c:v>8.7778393648461614E-2</c:v>
                </c:pt>
                <c:pt idx="34">
                  <c:v>8.5972218601489347E-2</c:v>
                </c:pt>
                <c:pt idx="35">
                  <c:v>8.4245408237728567E-2</c:v>
                </c:pt>
                <c:pt idx="36">
                  <c:v>8.3410103972762745E-2</c:v>
                </c:pt>
                <c:pt idx="37">
                  <c:v>8.1009320256924935E-2</c:v>
                </c:pt>
                <c:pt idx="38">
                  <c:v>8.1009320256924935E-2</c:v>
                </c:pt>
                <c:pt idx="39">
                  <c:v>8.0242234215674335E-2</c:v>
                </c:pt>
                <c:pt idx="40">
                  <c:v>7.949086173515986E-2</c:v>
                </c:pt>
                <c:pt idx="41">
                  <c:v>7.7326215476415563E-2</c:v>
                </c:pt>
                <c:pt idx="42">
                  <c:v>7.3990684023387585E-2</c:v>
                </c:pt>
                <c:pt idx="43">
                  <c:v>7.2742696855168432E-2</c:v>
                </c:pt>
                <c:pt idx="44">
                  <c:v>6.6122280396505029E-2</c:v>
                </c:pt>
                <c:pt idx="45">
                  <c:v>6.0282487817611967E-2</c:v>
                </c:pt>
                <c:pt idx="46">
                  <c:v>5.512783489150079E-2</c:v>
                </c:pt>
                <c:pt idx="47">
                  <c:v>5.0570465469650029E-2</c:v>
                </c:pt>
                <c:pt idx="48">
                  <c:v>4.7716427074423688E-2</c:v>
                </c:pt>
                <c:pt idx="49">
                  <c:v>4.434554010170734E-2</c:v>
                </c:pt>
                <c:pt idx="50">
                  <c:v>4.1816737234095104E-2</c:v>
                </c:pt>
                <c:pt idx="51">
                  <c:v>3.8947604553745338E-2</c:v>
                </c:pt>
                <c:pt idx="52">
                  <c:v>3.7167229856519948E-2</c:v>
                </c:pt>
                <c:pt idx="53">
                  <c:v>3.5813644203513656E-2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11-F143-9540-3FE165958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328576"/>
        <c:axId val="568628400"/>
      </c:scatterChart>
      <c:valAx>
        <c:axId val="568328576"/>
        <c:scaling>
          <c:logBase val="10"/>
          <c:orientation val="minMax"/>
          <c:max val="10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28400"/>
        <c:crossesAt val="1.0000000000000002E-2"/>
        <c:crossBetween val="midCat"/>
        <c:majorUnit val="10"/>
        <c:minorUnit val="10"/>
      </c:valAx>
      <c:valAx>
        <c:axId val="568628400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328576"/>
        <c:crossesAt val="0.1"/>
        <c:crossBetween val="midCat"/>
        <c:majorUnit val="10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479166661690908"/>
          <c:y val="0.11978949585228607"/>
          <c:w val="0.10221217411075846"/>
          <c:h val="0.19839043937186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</a:t>
            </a:r>
            <a:r>
              <a:rPr lang="en-US" baseline="0"/>
              <a:t> and actual responses of sample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Sheet1!$AB$343:$AB$364</c:f>
              <c:numCache>
                <c:formatCode>General</c:formatCode>
                <c:ptCount val="22"/>
                <c:pt idx="0">
                  <c:v>0.78639706479325133</c:v>
                </c:pt>
                <c:pt idx="1">
                  <c:v>0.68665852421808127</c:v>
                </c:pt>
                <c:pt idx="2">
                  <c:v>0.64146809397298654</c:v>
                </c:pt>
                <c:pt idx="3">
                  <c:v>0.60719085051337618</c:v>
                </c:pt>
                <c:pt idx="4">
                  <c:v>0.57716418073779774</c:v>
                </c:pt>
                <c:pt idx="5">
                  <c:v>0.55694511030583405</c:v>
                </c:pt>
                <c:pt idx="6">
                  <c:v>0.54154758296531846</c:v>
                </c:pt>
                <c:pt idx="7">
                  <c:v>0.52407181053689245</c:v>
                </c:pt>
                <c:pt idx="8">
                  <c:v>0.50570908809310522</c:v>
                </c:pt>
                <c:pt idx="9">
                  <c:v>0.49953135669133514</c:v>
                </c:pt>
                <c:pt idx="10">
                  <c:v>0.49039322235484423</c:v>
                </c:pt>
                <c:pt idx="11">
                  <c:v>0.48791421432803411</c:v>
                </c:pt>
                <c:pt idx="12">
                  <c:v>0.48170576830248496</c:v>
                </c:pt>
                <c:pt idx="13">
                  <c:v>0.47973914186881911</c:v>
                </c:pt>
                <c:pt idx="14">
                  <c:v>0.47439311798774314</c:v>
                </c:pt>
                <c:pt idx="15">
                  <c:v>0.47039727512508583</c:v>
                </c:pt>
                <c:pt idx="16">
                  <c:v>0.46688618944252452</c:v>
                </c:pt>
                <c:pt idx="17">
                  <c:v>0.46019597456106925</c:v>
                </c:pt>
                <c:pt idx="18">
                  <c:v>0.46006305421006055</c:v>
                </c:pt>
                <c:pt idx="19">
                  <c:v>0.46758167639507792</c:v>
                </c:pt>
                <c:pt idx="20">
                  <c:v>0.41931328688872399</c:v>
                </c:pt>
                <c:pt idx="21">
                  <c:v>0.40340475090965372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F-FC4A-8C3F-B118B2BAA6E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Sheet1!$AA$343:$AA$363</c:f>
              <c:numCache>
                <c:formatCode>General</c:formatCode>
                <c:ptCount val="21"/>
                <c:pt idx="0">
                  <c:v>0.76242985275539565</c:v>
                </c:pt>
                <c:pt idx="1">
                  <c:v>0.68354027499453596</c:v>
                </c:pt>
                <c:pt idx="2">
                  <c:v>0.65594261888548544</c:v>
                </c:pt>
                <c:pt idx="3">
                  <c:v>0.63236330281429087</c:v>
                </c:pt>
                <c:pt idx="4">
                  <c:v>0.60689764145740099</c:v>
                </c:pt>
                <c:pt idx="5">
                  <c:v>0.58178082477663284</c:v>
                </c:pt>
                <c:pt idx="6">
                  <c:v>0.56162535460070773</c:v>
                </c:pt>
                <c:pt idx="7">
                  <c:v>0.54704021063914432</c:v>
                </c:pt>
                <c:pt idx="8">
                  <c:v>0.52520581690658574</c:v>
                </c:pt>
                <c:pt idx="9">
                  <c:v>0.51366742360844808</c:v>
                </c:pt>
                <c:pt idx="10">
                  <c:v>0.48974383678551942</c:v>
                </c:pt>
                <c:pt idx="11">
                  <c:v>0.49551512262539649</c:v>
                </c:pt>
                <c:pt idx="12">
                  <c:v>0.48974383678551942</c:v>
                </c:pt>
                <c:pt idx="13">
                  <c:v>0.48078198521375559</c:v>
                </c:pt>
                <c:pt idx="14">
                  <c:v>0.47213948692740004</c:v>
                </c:pt>
                <c:pt idx="15">
                  <c:v>0.47002676977424979</c:v>
                </c:pt>
                <c:pt idx="16">
                  <c:v>0.46277756670399772</c:v>
                </c:pt>
                <c:pt idx="17">
                  <c:v>0.45873379356276861</c:v>
                </c:pt>
                <c:pt idx="18">
                  <c:v>0.45574661921005433</c:v>
                </c:pt>
                <c:pt idx="19">
                  <c:v>0.45085273782369251</c:v>
                </c:pt>
                <c:pt idx="20">
                  <c:v>0.40709014465718774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F-FC4A-8C3F-B118B2BAA6E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Sheet1!$I$342:$I$362</c:f>
              <c:numCache>
                <c:formatCode>General</c:formatCode>
                <c:ptCount val="21"/>
                <c:pt idx="0">
                  <c:v>0.77512751745438202</c:v>
                </c:pt>
                <c:pt idx="1">
                  <c:v>0.66767612012922062</c:v>
                </c:pt>
                <c:pt idx="2">
                  <c:v>0.61047604663199384</c:v>
                </c:pt>
                <c:pt idx="3">
                  <c:v>0.56061403946103461</c:v>
                </c:pt>
                <c:pt idx="4">
                  <c:v>0.52968203109861978</c:v>
                </c:pt>
                <c:pt idx="5">
                  <c:v>0.50727459196994129</c:v>
                </c:pt>
                <c:pt idx="6">
                  <c:v>0.48915718469975983</c:v>
                </c:pt>
                <c:pt idx="7">
                  <c:v>0.4665291806920227</c:v>
                </c:pt>
                <c:pt idx="8">
                  <c:v>0.45327779213300695</c:v>
                </c:pt>
                <c:pt idx="9">
                  <c:v>0.44902502092104374</c:v>
                </c:pt>
                <c:pt idx="10">
                  <c:v>0.44279217503929041</c:v>
                </c:pt>
                <c:pt idx="11">
                  <c:v>0.43772769331375372</c:v>
                </c:pt>
                <c:pt idx="12">
                  <c:v>0.43277676499013507</c:v>
                </c:pt>
                <c:pt idx="13">
                  <c:v>0.42793561334774954</c:v>
                </c:pt>
                <c:pt idx="14">
                  <c:v>0.42320062731155667</c:v>
                </c:pt>
                <c:pt idx="15">
                  <c:v>0.41856835246920748</c:v>
                </c:pt>
                <c:pt idx="16">
                  <c:v>0.41136215262916925</c:v>
                </c:pt>
                <c:pt idx="17">
                  <c:v>0.40439767018418465</c:v>
                </c:pt>
                <c:pt idx="18">
                  <c:v>0.40184584028832698</c:v>
                </c:pt>
                <c:pt idx="19">
                  <c:v>0.41047862653176032</c:v>
                </c:pt>
                <c:pt idx="20">
                  <c:v>0.33718309639486971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AF-FC4A-8C3F-B118B2BAA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698351"/>
        <c:axId val="271072799"/>
      </c:lineChart>
      <c:catAx>
        <c:axId val="2716983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072799"/>
        <c:crosses val="autoZero"/>
        <c:auto val="1"/>
        <c:lblAlgn val="ctr"/>
        <c:lblOffset val="100"/>
        <c:noMultiLvlLbl val="0"/>
      </c:catAx>
      <c:valAx>
        <c:axId val="27107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698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Concentration vs Response (Sensor 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22235019227452"/>
          <c:y val="0.17038780246475879"/>
          <c:w val="0.80838018953894186"/>
          <c:h val="0.62104396806992357"/>
        </c:manualLayout>
      </c:layout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Sheet1!$B$341:$B$362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</c:numCache>
            </c:numRef>
          </c:xVal>
          <c:yVal>
            <c:numRef>
              <c:f>Sheet1!$I$342:$I$360</c:f>
              <c:numCache>
                <c:formatCode>General</c:formatCode>
                <c:ptCount val="19"/>
                <c:pt idx="0">
                  <c:v>0.77512751745438202</c:v>
                </c:pt>
                <c:pt idx="1">
                  <c:v>0.66767612012922062</c:v>
                </c:pt>
                <c:pt idx="2">
                  <c:v>0.61047604663199384</c:v>
                </c:pt>
                <c:pt idx="3">
                  <c:v>0.56061403946103461</c:v>
                </c:pt>
                <c:pt idx="4">
                  <c:v>0.52968203109861978</c:v>
                </c:pt>
                <c:pt idx="5">
                  <c:v>0.50727459196994129</c:v>
                </c:pt>
                <c:pt idx="6">
                  <c:v>0.48915718469975983</c:v>
                </c:pt>
                <c:pt idx="7">
                  <c:v>0.4665291806920227</c:v>
                </c:pt>
                <c:pt idx="8">
                  <c:v>0.45327779213300695</c:v>
                </c:pt>
                <c:pt idx="9">
                  <c:v>0.44902502092104374</c:v>
                </c:pt>
                <c:pt idx="10">
                  <c:v>0.44279217503929041</c:v>
                </c:pt>
                <c:pt idx="11">
                  <c:v>0.43772769331375372</c:v>
                </c:pt>
                <c:pt idx="12">
                  <c:v>0.43277676499013507</c:v>
                </c:pt>
                <c:pt idx="13">
                  <c:v>0.42793561334774954</c:v>
                </c:pt>
                <c:pt idx="14">
                  <c:v>0.42320062731155667</c:v>
                </c:pt>
                <c:pt idx="15">
                  <c:v>0.41856835246920748</c:v>
                </c:pt>
                <c:pt idx="16">
                  <c:v>0.41136215262916925</c:v>
                </c:pt>
                <c:pt idx="17">
                  <c:v>0.40439767018418465</c:v>
                </c:pt>
                <c:pt idx="18">
                  <c:v>0.40184584028832698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B3-8140-BBEC-28B5CDEDB624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Sheet1!$M$341:$M$363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38</c:v>
                </c:pt>
                <c:pt idx="3">
                  <c:v>61</c:v>
                </c:pt>
                <c:pt idx="4">
                  <c:v>81</c:v>
                </c:pt>
                <c:pt idx="5">
                  <c:v>98</c:v>
                </c:pt>
                <c:pt idx="6">
                  <c:v>112</c:v>
                </c:pt>
                <c:pt idx="7">
                  <c:v>129</c:v>
                </c:pt>
                <c:pt idx="8">
                  <c:v>146</c:v>
                </c:pt>
                <c:pt idx="9">
                  <c:v>165</c:v>
                </c:pt>
                <c:pt idx="10">
                  <c:v>182</c:v>
                </c:pt>
                <c:pt idx="11">
                  <c:v>199</c:v>
                </c:pt>
                <c:pt idx="12">
                  <c:v>223</c:v>
                </c:pt>
                <c:pt idx="13">
                  <c:v>239</c:v>
                </c:pt>
                <c:pt idx="14">
                  <c:v>253</c:v>
                </c:pt>
                <c:pt idx="15">
                  <c:v>273</c:v>
                </c:pt>
                <c:pt idx="16">
                  <c:v>288</c:v>
                </c:pt>
                <c:pt idx="17">
                  <c:v>304</c:v>
                </c:pt>
                <c:pt idx="18">
                  <c:v>320</c:v>
                </c:pt>
                <c:pt idx="19">
                  <c:v>336</c:v>
                </c:pt>
                <c:pt idx="20">
                  <c:v>351</c:v>
                </c:pt>
                <c:pt idx="21">
                  <c:v>491</c:v>
                </c:pt>
                <c:pt idx="22">
                  <c:v>565</c:v>
                </c:pt>
              </c:numCache>
            </c:numRef>
          </c:xVal>
          <c:yVal>
            <c:numRef>
              <c:f>Sheet1!$U$342:$U$361</c:f>
              <c:numCache>
                <c:formatCode>General</c:formatCode>
                <c:ptCount val="20"/>
                <c:pt idx="0">
                  <c:v>0.82163382416997655</c:v>
                </c:pt>
                <c:pt idx="1">
                  <c:v>0.70875917753048723</c:v>
                </c:pt>
                <c:pt idx="2">
                  <c:v>0.65798561640148023</c:v>
                </c:pt>
                <c:pt idx="3">
                  <c:v>0.62859520926480283</c:v>
                </c:pt>
                <c:pt idx="4">
                  <c:v>0.59491286965737222</c:v>
                </c:pt>
                <c:pt idx="5">
                  <c:v>0.58177991417092789</c:v>
                </c:pt>
                <c:pt idx="6">
                  <c:v>0.57386020959548778</c:v>
                </c:pt>
                <c:pt idx="7">
                  <c:v>0.55864604027951037</c:v>
                </c:pt>
                <c:pt idx="8">
                  <c:v>0.53864365523972291</c:v>
                </c:pt>
                <c:pt idx="9">
                  <c:v>0.53590162554451382</c:v>
                </c:pt>
                <c:pt idx="10">
                  <c:v>0.53864365523972291</c:v>
                </c:pt>
                <c:pt idx="11">
                  <c:v>0.53049982704495213</c:v>
                </c:pt>
                <c:pt idx="12">
                  <c:v>0.52259670313180029</c:v>
                </c:pt>
                <c:pt idx="13">
                  <c:v>0.53049982704495213</c:v>
                </c:pt>
                <c:pt idx="14">
                  <c:v>0.5278392397242726</c:v>
                </c:pt>
                <c:pt idx="15">
                  <c:v>0.52259670313180029</c:v>
                </c:pt>
                <c:pt idx="16">
                  <c:v>0.5265188489944066</c:v>
                </c:pt>
                <c:pt idx="17">
                  <c:v>0.51745645993625444</c:v>
                </c:pt>
                <c:pt idx="18">
                  <c:v>0.52259670313180029</c:v>
                </c:pt>
                <c:pt idx="19">
                  <c:v>0.54141366482978082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B3-8140-BBEC-28B5CDEDB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62431"/>
        <c:axId val="314448255"/>
      </c:scatterChart>
      <c:valAx>
        <c:axId val="313662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48255"/>
        <c:crosses val="autoZero"/>
        <c:crossBetween val="midCat"/>
      </c:valAx>
      <c:valAx>
        <c:axId val="31444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662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149399131236286"/>
          <c:y val="0.18376978219462298"/>
          <c:w val="0.14224825038042702"/>
          <c:h val="0.15502113658193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Heating</a:t>
            </a:r>
            <a:r>
              <a:rPr lang="en-US" baseline="0"/>
              <a:t> time of the sensor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Sheet1!$B$253</c:f>
              <c:strCache>
                <c:ptCount val="1"/>
                <c:pt idx="0">
                  <c:v>Voltage (V)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FFD9519-3B29-8246-AC90-1FABC098F965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462-A646-8E52-E15DD42CA63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90E0256-7B0A-2048-A7B0-26437C6BE8EC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462-A646-8E52-E15DD42CA63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B67D91D-7F10-514C-9635-EDB51609F42C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5462-A646-8E52-E15DD42CA63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EB3879A-E980-FD40-97B5-51C6A84CF5B9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462-A646-8E52-E15DD42CA63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F975975-AB4D-E44A-BCD9-366ACF92C018}" type="VALUE">
                      <a:rPr lang="en-US">
                        <a:solidFill>
                          <a:schemeClr val="tx1"/>
                        </a:solidFill>
                      </a:rPr>
                      <a:pPr/>
                      <a:t>[VALUE]</a:t>
                    </a:fld>
                    <a:r>
                      <a:rPr lang="en-US">
                        <a:solidFill>
                          <a:schemeClr val="tx1"/>
                        </a:solidFill>
                      </a:rPr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5462-A646-8E52-E15DD42CA63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8C22D86-C05C-5F4B-9BA5-9CE282B2AF00}" type="VALUE">
                      <a:rPr lang="en-US">
                        <a:solidFill>
                          <a:schemeClr val="tx1"/>
                        </a:solidFill>
                      </a:rPr>
                      <a:pPr/>
                      <a:t>[VALUE]</a:t>
                    </a:fld>
                    <a:r>
                      <a:rPr lang="en-US">
                        <a:solidFill>
                          <a:schemeClr val="tx1"/>
                        </a:solidFill>
                      </a:rPr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462-A646-8E52-E15DD42CA6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Sheet1!$A$254:$A$259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Sheet1!$B$254:$B$259</c:f>
              <c:numCache>
                <c:formatCode>General</c:formatCode>
                <c:ptCount val="6"/>
                <c:pt idx="0">
                  <c:v>1.6E-2</c:v>
                </c:pt>
                <c:pt idx="1">
                  <c:v>1.8100000000000002E-2</c:v>
                </c:pt>
                <c:pt idx="2">
                  <c:v>1.04E-2</c:v>
                </c:pt>
                <c:pt idx="3">
                  <c:v>8.8999999999999996E-2</c:v>
                </c:pt>
                <c:pt idx="4">
                  <c:v>1.0999999999999999E-2</c:v>
                </c:pt>
                <c:pt idx="5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2-A646-8E52-E15DD42CA631}"/>
            </c:ext>
          </c:extLst>
        </c:ser>
        <c:ser>
          <c:idx val="1"/>
          <c:order val="1"/>
          <c:tx>
            <c:strRef>
              <c:f>Sheet1!$C$253</c:f>
              <c:strCache>
                <c:ptCount val="1"/>
                <c:pt idx="0">
                  <c:v>Time (s)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Sheet1!$A$254:$A$259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Sheet1!$C$254:$C$259</c:f>
              <c:numCache>
                <c:formatCode>General</c:formatCode>
                <c:ptCount val="6"/>
                <c:pt idx="0">
                  <c:v>300</c:v>
                </c:pt>
                <c:pt idx="1">
                  <c:v>360</c:v>
                </c:pt>
                <c:pt idx="2">
                  <c:v>150</c:v>
                </c:pt>
                <c:pt idx="3">
                  <c:v>246</c:v>
                </c:pt>
                <c:pt idx="4">
                  <c:v>175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62-A646-8E52-E15DD42CA63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300773088"/>
        <c:axId val="1271892880"/>
      </c:barChart>
      <c:catAx>
        <c:axId val="13007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892880"/>
        <c:crosses val="autoZero"/>
        <c:auto val="1"/>
        <c:lblAlgn val="ctr"/>
        <c:lblOffset val="100"/>
        <c:noMultiLvlLbl val="0"/>
      </c:catAx>
      <c:valAx>
        <c:axId val="127189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77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Heating</a:t>
            </a:r>
            <a:r>
              <a:rPr lang="en-US" baseline="0"/>
              <a:t> time with fan on in the chamber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Sheet1!$F$253</c:f>
              <c:strCache>
                <c:ptCount val="1"/>
                <c:pt idx="0">
                  <c:v>Voltage (V)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7E3301-F0A2-1845-974A-5F98DAAB7328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E0DA-2248-8810-FBF1207118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D192E8E-BE75-AE41-86AB-E68BE960A7AD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0DA-2248-8810-FBF1207118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DFCF44E-8491-6C44-8808-129DEF79E8F7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E0DA-2248-8810-FBF1207118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D198EC9-4BA8-234A-8932-0F3BCD480810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E0DA-2248-8810-FBF12071183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20113AC-4035-BF40-88BB-118364B8EC89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E0DA-2248-8810-FBF12071183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F91C7D4-694D-1F4B-8055-4FABB717ADFD}" type="VALUE">
                      <a:rPr lang="en-US"/>
                      <a:pPr/>
                      <a:t>[VALUE]</a:t>
                    </a:fld>
                    <a:r>
                      <a:rPr lang="en-US"/>
                      <a:t> 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E0DA-2248-8810-FBF1207118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Sheet1!$E$254:$E$259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Sheet1!$F$254:$F$259</c:f>
              <c:numCache>
                <c:formatCode>General</c:formatCode>
                <c:ptCount val="6"/>
                <c:pt idx="0">
                  <c:v>1.12E-2</c:v>
                </c:pt>
                <c:pt idx="1">
                  <c:v>1.9900000000000001E-2</c:v>
                </c:pt>
                <c:pt idx="2">
                  <c:v>1.0200000000000001E-2</c:v>
                </c:pt>
                <c:pt idx="3">
                  <c:v>5.5E-2</c:v>
                </c:pt>
                <c:pt idx="4">
                  <c:v>1.11E-2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DA-2248-8810-FBF120711835}"/>
            </c:ext>
          </c:extLst>
        </c:ser>
        <c:ser>
          <c:idx val="1"/>
          <c:order val="1"/>
          <c:tx>
            <c:strRef>
              <c:f>Sheet1!$G$253</c:f>
              <c:strCache>
                <c:ptCount val="1"/>
                <c:pt idx="0">
                  <c:v>Time (s)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Sheet1!$E$254:$E$259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Sheet1!$G$254:$G$259</c:f>
              <c:numCache>
                <c:formatCode>General</c:formatCode>
                <c:ptCount val="6"/>
                <c:pt idx="0">
                  <c:v>287</c:v>
                </c:pt>
                <c:pt idx="1">
                  <c:v>158</c:v>
                </c:pt>
                <c:pt idx="2">
                  <c:v>135</c:v>
                </c:pt>
                <c:pt idx="3">
                  <c:v>98</c:v>
                </c:pt>
                <c:pt idx="4">
                  <c:v>435</c:v>
                </c:pt>
                <c:pt idx="5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DA-2248-8810-FBF12071183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273169184"/>
        <c:axId val="1273170864"/>
      </c:barChart>
      <c:catAx>
        <c:axId val="127316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170864"/>
        <c:crosses val="autoZero"/>
        <c:auto val="1"/>
        <c:lblAlgn val="ctr"/>
        <c:lblOffset val="100"/>
        <c:noMultiLvlLbl val="0"/>
      </c:catAx>
      <c:valAx>
        <c:axId val="127317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16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Sheet1!$B$285</c:f>
              <c:strCache>
                <c:ptCount val="1"/>
                <c:pt idx="0">
                  <c:v>Sensor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Sheet1!$B$286:$B$295</c:f>
              <c:numCache>
                <c:formatCode>General</c:formatCode>
                <c:ptCount val="10"/>
                <c:pt idx="0">
                  <c:v>41.6</c:v>
                </c:pt>
                <c:pt idx="1">
                  <c:v>29.2</c:v>
                </c:pt>
                <c:pt idx="2">
                  <c:v>24.6</c:v>
                </c:pt>
                <c:pt idx="3">
                  <c:v>22.3</c:v>
                </c:pt>
                <c:pt idx="4">
                  <c:v>20.8</c:v>
                </c:pt>
                <c:pt idx="5">
                  <c:v>19.399999999999999</c:v>
                </c:pt>
                <c:pt idx="6">
                  <c:v>18.600000000000001</c:v>
                </c:pt>
                <c:pt idx="7">
                  <c:v>18.2</c:v>
                </c:pt>
                <c:pt idx="8">
                  <c:v>17.600000000000001</c:v>
                </c:pt>
                <c:pt idx="9">
                  <c:v>17.3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FE-D144-A7D7-8843657091DB}"/>
            </c:ext>
          </c:extLst>
        </c:ser>
        <c:ser>
          <c:idx val="1"/>
          <c:order val="1"/>
          <c:tx>
            <c:strRef>
              <c:f>Sheet1!$C$285</c:f>
              <c:strCache>
                <c:ptCount val="1"/>
                <c:pt idx="0">
                  <c:v>Sensor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Sheet1!$C$286:$C$295</c:f>
              <c:numCache>
                <c:formatCode>General</c:formatCode>
                <c:ptCount val="10"/>
                <c:pt idx="0">
                  <c:v>27.4</c:v>
                </c:pt>
                <c:pt idx="1">
                  <c:v>19.5</c:v>
                </c:pt>
                <c:pt idx="2">
                  <c:v>17.3</c:v>
                </c:pt>
                <c:pt idx="3">
                  <c:v>16.5</c:v>
                </c:pt>
                <c:pt idx="4">
                  <c:v>16.3</c:v>
                </c:pt>
                <c:pt idx="5">
                  <c:v>15.9</c:v>
                </c:pt>
                <c:pt idx="6">
                  <c:v>15.6</c:v>
                </c:pt>
                <c:pt idx="7">
                  <c:v>15.5</c:v>
                </c:pt>
                <c:pt idx="8">
                  <c:v>15.4</c:v>
                </c:pt>
                <c:pt idx="9">
                  <c:v>15.4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FE-D144-A7D7-8843657091DB}"/>
            </c:ext>
          </c:extLst>
        </c:ser>
        <c:ser>
          <c:idx val="2"/>
          <c:order val="2"/>
          <c:tx>
            <c:strRef>
              <c:f>Sheet1!$D$285</c:f>
              <c:strCache>
                <c:ptCount val="1"/>
                <c:pt idx="0">
                  <c:v>Sensor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Sheet1!$D$286:$D$295</c:f>
              <c:numCache>
                <c:formatCode>General</c:formatCode>
                <c:ptCount val="10"/>
                <c:pt idx="0">
                  <c:v>21.3</c:v>
                </c:pt>
                <c:pt idx="1">
                  <c:v>12.9</c:v>
                </c:pt>
                <c:pt idx="2">
                  <c:v>10.199999999999999</c:v>
                </c:pt>
                <c:pt idx="3">
                  <c:v>9</c:v>
                </c:pt>
                <c:pt idx="4">
                  <c:v>8.1</c:v>
                </c:pt>
                <c:pt idx="5">
                  <c:v>7.6</c:v>
                </c:pt>
                <c:pt idx="6">
                  <c:v>7.2</c:v>
                </c:pt>
                <c:pt idx="7">
                  <c:v>7</c:v>
                </c:pt>
                <c:pt idx="8">
                  <c:v>6.8</c:v>
                </c:pt>
                <c:pt idx="9">
                  <c:v>6.7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CFE-D144-A7D7-8843657091DB}"/>
            </c:ext>
          </c:extLst>
        </c:ser>
        <c:ser>
          <c:idx val="3"/>
          <c:order val="3"/>
          <c:tx>
            <c:strRef>
              <c:f>Sheet1!$E$285</c:f>
              <c:strCache>
                <c:ptCount val="1"/>
                <c:pt idx="0">
                  <c:v>Sensor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Sheet1!$E$286:$E$295</c:f>
              <c:numCache>
                <c:formatCode>General</c:formatCode>
                <c:ptCount val="10"/>
                <c:pt idx="0">
                  <c:v>17.399999999999999</c:v>
                </c:pt>
                <c:pt idx="1">
                  <c:v>12.1</c:v>
                </c:pt>
                <c:pt idx="2">
                  <c:v>10.4</c:v>
                </c:pt>
                <c:pt idx="3">
                  <c:v>9.5</c:v>
                </c:pt>
                <c:pt idx="4">
                  <c:v>9</c:v>
                </c:pt>
                <c:pt idx="5">
                  <c:v>8.6999999999999993</c:v>
                </c:pt>
                <c:pt idx="6">
                  <c:v>8.5</c:v>
                </c:pt>
                <c:pt idx="7">
                  <c:v>8.5</c:v>
                </c:pt>
                <c:pt idx="8">
                  <c:v>8.3000000000000007</c:v>
                </c:pt>
                <c:pt idx="9">
                  <c:v>8.3000000000000007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CFE-D144-A7D7-8843657091DB}"/>
            </c:ext>
          </c:extLst>
        </c:ser>
        <c:ser>
          <c:idx val="4"/>
          <c:order val="4"/>
          <c:tx>
            <c:strRef>
              <c:f>Sheet1!$F$285</c:f>
              <c:strCache>
                <c:ptCount val="1"/>
                <c:pt idx="0">
                  <c:v>Sensor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Sheet1!$F$286:$F$295</c:f>
              <c:numCache>
                <c:formatCode>General</c:formatCode>
                <c:ptCount val="10"/>
                <c:pt idx="0">
                  <c:v>19.399999999999999</c:v>
                </c:pt>
                <c:pt idx="1">
                  <c:v>14</c:v>
                </c:pt>
                <c:pt idx="2">
                  <c:v>12.1</c:v>
                </c:pt>
                <c:pt idx="3">
                  <c:v>11.3</c:v>
                </c:pt>
                <c:pt idx="4">
                  <c:v>10.8</c:v>
                </c:pt>
                <c:pt idx="5">
                  <c:v>10.5</c:v>
                </c:pt>
                <c:pt idx="6">
                  <c:v>10.3</c:v>
                </c:pt>
                <c:pt idx="7">
                  <c:v>10</c:v>
                </c:pt>
                <c:pt idx="8">
                  <c:v>9.9</c:v>
                </c:pt>
                <c:pt idx="9">
                  <c:v>9.8000000000000007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CFE-D144-A7D7-8843657091DB}"/>
            </c:ext>
          </c:extLst>
        </c:ser>
        <c:ser>
          <c:idx val="5"/>
          <c:order val="5"/>
          <c:tx>
            <c:strRef>
              <c:f>Sheet1!$G$285</c:f>
              <c:strCache>
                <c:ptCount val="1"/>
                <c:pt idx="0">
                  <c:v>Sensor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Sheet1!$A$286:$A$295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Sheet1!$G$286:$G$295</c:f>
              <c:numCache>
                <c:formatCode>General</c:formatCode>
                <c:ptCount val="10"/>
                <c:pt idx="0">
                  <c:v>23.8</c:v>
                </c:pt>
                <c:pt idx="1">
                  <c:v>15.6</c:v>
                </c:pt>
                <c:pt idx="2">
                  <c:v>13</c:v>
                </c:pt>
                <c:pt idx="3">
                  <c:v>11.6</c:v>
                </c:pt>
                <c:pt idx="4">
                  <c:v>11</c:v>
                </c:pt>
                <c:pt idx="5">
                  <c:v>10.6</c:v>
                </c:pt>
                <c:pt idx="6">
                  <c:v>10.3</c:v>
                </c:pt>
                <c:pt idx="7">
                  <c:v>10</c:v>
                </c:pt>
                <c:pt idx="8">
                  <c:v>10</c:v>
                </c:pt>
                <c:pt idx="9">
                  <c:v>9.8000000000000007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CFE-D144-A7D7-884365709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023360"/>
        <c:axId val="1274852208"/>
      </c:scatterChart>
      <c:valAx>
        <c:axId val="12670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4852208"/>
        <c:crosses val="autoZero"/>
        <c:crossBetween val="midCat"/>
      </c:valAx>
      <c:valAx>
        <c:axId val="127485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023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heating</a:t>
            </a:r>
            <a:r>
              <a:rPr lang="en-US" baseline="0"/>
              <a:t> time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22992178439521E-2"/>
          <c:y val="0.11187548421512143"/>
          <c:w val="0.85323581936680859"/>
          <c:h val="0.75418972255037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Sheet1!$B$285</c:f>
              <c:strCache>
                <c:ptCount val="1"/>
                <c:pt idx="0">
                  <c:v>Sensor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Sheet1!$B$286:$B$324</c:f>
              <c:numCache>
                <c:formatCode>General</c:formatCode>
                <c:ptCount val="39"/>
                <c:pt idx="0">
                  <c:v>41.6</c:v>
                </c:pt>
                <c:pt idx="1">
                  <c:v>29.2</c:v>
                </c:pt>
                <c:pt idx="2">
                  <c:v>24.6</c:v>
                </c:pt>
                <c:pt idx="3">
                  <c:v>22.3</c:v>
                </c:pt>
                <c:pt idx="4">
                  <c:v>20.8</c:v>
                </c:pt>
                <c:pt idx="5">
                  <c:v>19.399999999999999</c:v>
                </c:pt>
                <c:pt idx="6">
                  <c:v>18.600000000000001</c:v>
                </c:pt>
                <c:pt idx="7">
                  <c:v>18.2</c:v>
                </c:pt>
                <c:pt idx="8">
                  <c:v>17.600000000000001</c:v>
                </c:pt>
                <c:pt idx="9">
                  <c:v>17.3</c:v>
                </c:pt>
                <c:pt idx="10">
                  <c:v>16.899999999999999</c:v>
                </c:pt>
                <c:pt idx="11">
                  <c:v>16.899999999999999</c:v>
                </c:pt>
                <c:pt idx="12">
                  <c:v>16.600000000000001</c:v>
                </c:pt>
                <c:pt idx="13">
                  <c:v>16.5</c:v>
                </c:pt>
                <c:pt idx="14">
                  <c:v>16.3</c:v>
                </c:pt>
                <c:pt idx="15">
                  <c:v>16.2</c:v>
                </c:pt>
                <c:pt idx="16">
                  <c:v>16</c:v>
                </c:pt>
                <c:pt idx="17">
                  <c:v>16.2</c:v>
                </c:pt>
                <c:pt idx="18">
                  <c:v>15.8</c:v>
                </c:pt>
                <c:pt idx="19">
                  <c:v>15.7</c:v>
                </c:pt>
                <c:pt idx="20">
                  <c:v>15.8</c:v>
                </c:pt>
                <c:pt idx="21">
                  <c:v>15.7</c:v>
                </c:pt>
                <c:pt idx="22">
                  <c:v>16</c:v>
                </c:pt>
                <c:pt idx="23">
                  <c:v>15.9</c:v>
                </c:pt>
                <c:pt idx="24">
                  <c:v>16.100000000000001</c:v>
                </c:pt>
                <c:pt idx="25">
                  <c:v>16.100000000000001</c:v>
                </c:pt>
                <c:pt idx="26">
                  <c:v>16</c:v>
                </c:pt>
                <c:pt idx="27">
                  <c:v>16.100000000000001</c:v>
                </c:pt>
                <c:pt idx="28">
                  <c:v>15.8</c:v>
                </c:pt>
                <c:pt idx="29">
                  <c:v>15.7</c:v>
                </c:pt>
                <c:pt idx="30">
                  <c:v>15.7</c:v>
                </c:pt>
                <c:pt idx="31">
                  <c:v>16</c:v>
                </c:pt>
                <c:pt idx="32">
                  <c:v>15.9</c:v>
                </c:pt>
                <c:pt idx="33">
                  <c:v>16</c:v>
                </c:pt>
                <c:pt idx="34">
                  <c:v>15.9</c:v>
                </c:pt>
                <c:pt idx="35">
                  <c:v>15.9</c:v>
                </c:pt>
                <c:pt idx="36">
                  <c:v>16</c:v>
                </c:pt>
                <c:pt idx="37">
                  <c:v>15.9</c:v>
                </c:pt>
                <c:pt idx="38">
                  <c:v>15.8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E5-B74C-B5EF-A08F0F25C83B}"/>
            </c:ext>
          </c:extLst>
        </c:ser>
        <c:ser>
          <c:idx val="1"/>
          <c:order val="1"/>
          <c:tx>
            <c:strRef>
              <c:f>Sheet1!$C$285</c:f>
              <c:strCache>
                <c:ptCount val="1"/>
                <c:pt idx="0">
                  <c:v>Sensor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Sheet1!$C$286:$C$324</c:f>
              <c:numCache>
                <c:formatCode>General</c:formatCode>
                <c:ptCount val="39"/>
                <c:pt idx="0">
                  <c:v>27.4</c:v>
                </c:pt>
                <c:pt idx="1">
                  <c:v>19.5</c:v>
                </c:pt>
                <c:pt idx="2">
                  <c:v>17.3</c:v>
                </c:pt>
                <c:pt idx="3">
                  <c:v>16.5</c:v>
                </c:pt>
                <c:pt idx="4">
                  <c:v>16.3</c:v>
                </c:pt>
                <c:pt idx="5">
                  <c:v>15.9</c:v>
                </c:pt>
                <c:pt idx="6">
                  <c:v>15.6</c:v>
                </c:pt>
                <c:pt idx="7">
                  <c:v>15.5</c:v>
                </c:pt>
                <c:pt idx="8">
                  <c:v>15.4</c:v>
                </c:pt>
                <c:pt idx="9">
                  <c:v>15.4</c:v>
                </c:pt>
                <c:pt idx="10">
                  <c:v>15.4</c:v>
                </c:pt>
                <c:pt idx="11">
                  <c:v>15.4</c:v>
                </c:pt>
                <c:pt idx="12">
                  <c:v>15.1</c:v>
                </c:pt>
                <c:pt idx="13">
                  <c:v>15.3</c:v>
                </c:pt>
                <c:pt idx="14">
                  <c:v>15.2</c:v>
                </c:pt>
                <c:pt idx="15">
                  <c:v>15.3</c:v>
                </c:pt>
                <c:pt idx="16">
                  <c:v>15.2</c:v>
                </c:pt>
                <c:pt idx="17">
                  <c:v>15.3</c:v>
                </c:pt>
                <c:pt idx="18">
                  <c:v>15.2</c:v>
                </c:pt>
                <c:pt idx="19">
                  <c:v>15.3</c:v>
                </c:pt>
                <c:pt idx="20">
                  <c:v>15.2</c:v>
                </c:pt>
                <c:pt idx="21">
                  <c:v>15.2</c:v>
                </c:pt>
                <c:pt idx="22">
                  <c:v>15.1</c:v>
                </c:pt>
                <c:pt idx="23">
                  <c:v>14.9</c:v>
                </c:pt>
                <c:pt idx="24">
                  <c:v>15.1</c:v>
                </c:pt>
                <c:pt idx="25">
                  <c:v>15.2</c:v>
                </c:pt>
                <c:pt idx="26">
                  <c:v>15.1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14.9</c:v>
                </c:pt>
                <c:pt idx="32">
                  <c:v>14.8</c:v>
                </c:pt>
                <c:pt idx="33">
                  <c:v>14.9</c:v>
                </c:pt>
                <c:pt idx="34">
                  <c:v>15</c:v>
                </c:pt>
                <c:pt idx="35">
                  <c:v>15</c:v>
                </c:pt>
                <c:pt idx="36">
                  <c:v>15.1</c:v>
                </c:pt>
                <c:pt idx="37">
                  <c:v>15</c:v>
                </c:pt>
                <c:pt idx="38">
                  <c:v>15.1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E5-B74C-B5EF-A08F0F25C83B}"/>
            </c:ext>
          </c:extLst>
        </c:ser>
        <c:ser>
          <c:idx val="2"/>
          <c:order val="2"/>
          <c:tx>
            <c:strRef>
              <c:f>Sheet1!$D$285</c:f>
              <c:strCache>
                <c:ptCount val="1"/>
                <c:pt idx="0">
                  <c:v>Sensor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Sheet1!$D$286:$D$324</c:f>
              <c:numCache>
                <c:formatCode>General</c:formatCode>
                <c:ptCount val="39"/>
                <c:pt idx="0">
                  <c:v>21.3</c:v>
                </c:pt>
                <c:pt idx="1">
                  <c:v>12.9</c:v>
                </c:pt>
                <c:pt idx="2">
                  <c:v>10.199999999999999</c:v>
                </c:pt>
                <c:pt idx="3">
                  <c:v>9</c:v>
                </c:pt>
                <c:pt idx="4">
                  <c:v>8.1</c:v>
                </c:pt>
                <c:pt idx="5">
                  <c:v>7.6</c:v>
                </c:pt>
                <c:pt idx="6">
                  <c:v>7.2</c:v>
                </c:pt>
                <c:pt idx="7">
                  <c:v>7</c:v>
                </c:pt>
                <c:pt idx="8">
                  <c:v>6.8</c:v>
                </c:pt>
                <c:pt idx="9">
                  <c:v>6.7</c:v>
                </c:pt>
                <c:pt idx="10">
                  <c:v>6.4</c:v>
                </c:pt>
                <c:pt idx="11">
                  <c:v>6.4</c:v>
                </c:pt>
                <c:pt idx="12">
                  <c:v>6.3</c:v>
                </c:pt>
                <c:pt idx="13">
                  <c:v>6.2</c:v>
                </c:pt>
                <c:pt idx="14">
                  <c:v>6.1</c:v>
                </c:pt>
                <c:pt idx="15">
                  <c:v>6.2</c:v>
                </c:pt>
                <c:pt idx="16">
                  <c:v>6.1</c:v>
                </c:pt>
                <c:pt idx="17">
                  <c:v>5.9</c:v>
                </c:pt>
                <c:pt idx="18">
                  <c:v>6</c:v>
                </c:pt>
                <c:pt idx="19">
                  <c:v>5.9</c:v>
                </c:pt>
                <c:pt idx="20">
                  <c:v>5.8</c:v>
                </c:pt>
                <c:pt idx="21">
                  <c:v>5.8</c:v>
                </c:pt>
                <c:pt idx="22">
                  <c:v>5.8</c:v>
                </c:pt>
                <c:pt idx="23">
                  <c:v>5.8</c:v>
                </c:pt>
                <c:pt idx="24">
                  <c:v>5.8</c:v>
                </c:pt>
                <c:pt idx="25">
                  <c:v>5.8</c:v>
                </c:pt>
                <c:pt idx="26">
                  <c:v>5.8</c:v>
                </c:pt>
                <c:pt idx="27">
                  <c:v>5.7</c:v>
                </c:pt>
                <c:pt idx="28">
                  <c:v>5.7</c:v>
                </c:pt>
                <c:pt idx="29">
                  <c:v>5.6</c:v>
                </c:pt>
                <c:pt idx="30">
                  <c:v>5.7</c:v>
                </c:pt>
                <c:pt idx="31">
                  <c:v>5.7</c:v>
                </c:pt>
                <c:pt idx="32">
                  <c:v>5.6</c:v>
                </c:pt>
                <c:pt idx="33">
                  <c:v>5.7</c:v>
                </c:pt>
                <c:pt idx="34">
                  <c:v>5.7</c:v>
                </c:pt>
                <c:pt idx="35">
                  <c:v>5.7</c:v>
                </c:pt>
                <c:pt idx="36">
                  <c:v>5.7</c:v>
                </c:pt>
                <c:pt idx="37">
                  <c:v>5.7</c:v>
                </c:pt>
                <c:pt idx="38">
                  <c:v>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E5-B74C-B5EF-A08F0F25C83B}"/>
            </c:ext>
          </c:extLst>
        </c:ser>
        <c:ser>
          <c:idx val="3"/>
          <c:order val="3"/>
          <c:tx>
            <c:strRef>
              <c:f>Sheet1!$E$285</c:f>
              <c:strCache>
                <c:ptCount val="1"/>
                <c:pt idx="0">
                  <c:v>Sensor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Sheet1!$E$286:$E$324</c:f>
              <c:numCache>
                <c:formatCode>General</c:formatCode>
                <c:ptCount val="39"/>
                <c:pt idx="0">
                  <c:v>17.399999999999999</c:v>
                </c:pt>
                <c:pt idx="1">
                  <c:v>12.1</c:v>
                </c:pt>
                <c:pt idx="2">
                  <c:v>10.4</c:v>
                </c:pt>
                <c:pt idx="3">
                  <c:v>9.5</c:v>
                </c:pt>
                <c:pt idx="4">
                  <c:v>9</c:v>
                </c:pt>
                <c:pt idx="5">
                  <c:v>8.6999999999999993</c:v>
                </c:pt>
                <c:pt idx="6">
                  <c:v>8.5</c:v>
                </c:pt>
                <c:pt idx="7">
                  <c:v>8.5</c:v>
                </c:pt>
                <c:pt idx="8">
                  <c:v>8.3000000000000007</c:v>
                </c:pt>
                <c:pt idx="9">
                  <c:v>8.3000000000000007</c:v>
                </c:pt>
                <c:pt idx="10">
                  <c:v>8.1999999999999993</c:v>
                </c:pt>
                <c:pt idx="11">
                  <c:v>8.1999999999999993</c:v>
                </c:pt>
                <c:pt idx="12">
                  <c:v>8.1999999999999993</c:v>
                </c:pt>
                <c:pt idx="13">
                  <c:v>8.1999999999999993</c:v>
                </c:pt>
                <c:pt idx="14">
                  <c:v>8.3000000000000007</c:v>
                </c:pt>
                <c:pt idx="15">
                  <c:v>8.1999999999999993</c:v>
                </c:pt>
                <c:pt idx="16">
                  <c:v>8.1999999999999993</c:v>
                </c:pt>
                <c:pt idx="17">
                  <c:v>8.3000000000000007</c:v>
                </c:pt>
                <c:pt idx="18">
                  <c:v>8.1999999999999993</c:v>
                </c:pt>
                <c:pt idx="19">
                  <c:v>8.1999999999999993</c:v>
                </c:pt>
                <c:pt idx="20">
                  <c:v>8.1999999999999993</c:v>
                </c:pt>
                <c:pt idx="21">
                  <c:v>8.3000000000000007</c:v>
                </c:pt>
                <c:pt idx="22">
                  <c:v>8.1999999999999993</c:v>
                </c:pt>
                <c:pt idx="23">
                  <c:v>8.3000000000000007</c:v>
                </c:pt>
                <c:pt idx="24">
                  <c:v>8.3000000000000007</c:v>
                </c:pt>
                <c:pt idx="25">
                  <c:v>8.3000000000000007</c:v>
                </c:pt>
                <c:pt idx="26">
                  <c:v>8.3000000000000007</c:v>
                </c:pt>
                <c:pt idx="27">
                  <c:v>8.3000000000000007</c:v>
                </c:pt>
                <c:pt idx="28">
                  <c:v>8.4</c:v>
                </c:pt>
                <c:pt idx="29">
                  <c:v>8.3000000000000007</c:v>
                </c:pt>
                <c:pt idx="30">
                  <c:v>8.3000000000000007</c:v>
                </c:pt>
                <c:pt idx="31">
                  <c:v>8.3000000000000007</c:v>
                </c:pt>
                <c:pt idx="32">
                  <c:v>8.1999999999999993</c:v>
                </c:pt>
                <c:pt idx="33">
                  <c:v>8.3000000000000007</c:v>
                </c:pt>
                <c:pt idx="34">
                  <c:v>8.4</c:v>
                </c:pt>
                <c:pt idx="35">
                  <c:v>8.4</c:v>
                </c:pt>
                <c:pt idx="36">
                  <c:v>8.4</c:v>
                </c:pt>
                <c:pt idx="37">
                  <c:v>8.3000000000000007</c:v>
                </c:pt>
                <c:pt idx="38">
                  <c:v>8.4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E5-B74C-B5EF-A08F0F25C83B}"/>
            </c:ext>
          </c:extLst>
        </c:ser>
        <c:ser>
          <c:idx val="4"/>
          <c:order val="4"/>
          <c:tx>
            <c:strRef>
              <c:f>Sheet1!$F$285</c:f>
              <c:strCache>
                <c:ptCount val="1"/>
                <c:pt idx="0">
                  <c:v>Sensor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Sheet1!$F$286:$F$324</c:f>
              <c:numCache>
                <c:formatCode>General</c:formatCode>
                <c:ptCount val="39"/>
                <c:pt idx="0">
                  <c:v>19.399999999999999</c:v>
                </c:pt>
                <c:pt idx="1">
                  <c:v>14</c:v>
                </c:pt>
                <c:pt idx="2">
                  <c:v>12.1</c:v>
                </c:pt>
                <c:pt idx="3">
                  <c:v>11.3</c:v>
                </c:pt>
                <c:pt idx="4">
                  <c:v>10.8</c:v>
                </c:pt>
                <c:pt idx="5">
                  <c:v>10.5</c:v>
                </c:pt>
                <c:pt idx="6">
                  <c:v>10.3</c:v>
                </c:pt>
                <c:pt idx="7">
                  <c:v>10</c:v>
                </c:pt>
                <c:pt idx="8">
                  <c:v>9.9</c:v>
                </c:pt>
                <c:pt idx="9">
                  <c:v>9.8000000000000007</c:v>
                </c:pt>
                <c:pt idx="10">
                  <c:v>9.6999999999999993</c:v>
                </c:pt>
                <c:pt idx="11">
                  <c:v>9.6</c:v>
                </c:pt>
                <c:pt idx="12">
                  <c:v>9.5</c:v>
                </c:pt>
                <c:pt idx="13">
                  <c:v>9.4</c:v>
                </c:pt>
                <c:pt idx="14">
                  <c:v>9.4</c:v>
                </c:pt>
                <c:pt idx="15">
                  <c:v>9.3000000000000007</c:v>
                </c:pt>
                <c:pt idx="16">
                  <c:v>9.4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</c:v>
                </c:pt>
                <c:pt idx="20">
                  <c:v>9.1999999999999993</c:v>
                </c:pt>
                <c:pt idx="21">
                  <c:v>9.1</c:v>
                </c:pt>
                <c:pt idx="22">
                  <c:v>9.1</c:v>
                </c:pt>
                <c:pt idx="23">
                  <c:v>9.1</c:v>
                </c:pt>
                <c:pt idx="24">
                  <c:v>9</c:v>
                </c:pt>
                <c:pt idx="25">
                  <c:v>9</c:v>
                </c:pt>
                <c:pt idx="26">
                  <c:v>8.8000000000000007</c:v>
                </c:pt>
                <c:pt idx="27">
                  <c:v>8.8000000000000007</c:v>
                </c:pt>
                <c:pt idx="28">
                  <c:v>8.9</c:v>
                </c:pt>
                <c:pt idx="29">
                  <c:v>8.9</c:v>
                </c:pt>
                <c:pt idx="30">
                  <c:v>8.9</c:v>
                </c:pt>
                <c:pt idx="31">
                  <c:v>8.8000000000000007</c:v>
                </c:pt>
                <c:pt idx="32">
                  <c:v>8.6</c:v>
                </c:pt>
                <c:pt idx="33">
                  <c:v>8.8000000000000007</c:v>
                </c:pt>
                <c:pt idx="34">
                  <c:v>8.6</c:v>
                </c:pt>
                <c:pt idx="35">
                  <c:v>8.6</c:v>
                </c:pt>
                <c:pt idx="36">
                  <c:v>8.6</c:v>
                </c:pt>
                <c:pt idx="37">
                  <c:v>8.6</c:v>
                </c:pt>
                <c:pt idx="38">
                  <c:v>8.6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E5-B74C-B5EF-A08F0F25C83B}"/>
            </c:ext>
          </c:extLst>
        </c:ser>
        <c:ser>
          <c:idx val="5"/>
          <c:order val="5"/>
          <c:tx>
            <c:strRef>
              <c:f>Sheet1!$G$285</c:f>
              <c:strCache>
                <c:ptCount val="1"/>
                <c:pt idx="0">
                  <c:v>Sensor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Sheet1!$G$286:$G$324</c:f>
              <c:numCache>
                <c:formatCode>General</c:formatCode>
                <c:ptCount val="39"/>
                <c:pt idx="0">
                  <c:v>23.8</c:v>
                </c:pt>
                <c:pt idx="1">
                  <c:v>15.6</c:v>
                </c:pt>
                <c:pt idx="2">
                  <c:v>13</c:v>
                </c:pt>
                <c:pt idx="3">
                  <c:v>11.6</c:v>
                </c:pt>
                <c:pt idx="4">
                  <c:v>11</c:v>
                </c:pt>
                <c:pt idx="5">
                  <c:v>10.6</c:v>
                </c:pt>
                <c:pt idx="6">
                  <c:v>10.3</c:v>
                </c:pt>
                <c:pt idx="7">
                  <c:v>10</c:v>
                </c:pt>
                <c:pt idx="8">
                  <c:v>10</c:v>
                </c:pt>
                <c:pt idx="9">
                  <c:v>9.8000000000000007</c:v>
                </c:pt>
                <c:pt idx="10">
                  <c:v>9.6999999999999993</c:v>
                </c:pt>
                <c:pt idx="11">
                  <c:v>9.8000000000000007</c:v>
                </c:pt>
                <c:pt idx="12">
                  <c:v>9.6</c:v>
                </c:pt>
                <c:pt idx="13">
                  <c:v>9.5</c:v>
                </c:pt>
                <c:pt idx="14">
                  <c:v>9.5</c:v>
                </c:pt>
                <c:pt idx="15">
                  <c:v>9.5</c:v>
                </c:pt>
                <c:pt idx="16">
                  <c:v>9.4</c:v>
                </c:pt>
                <c:pt idx="17">
                  <c:v>9.4</c:v>
                </c:pt>
                <c:pt idx="18">
                  <c:v>9.4</c:v>
                </c:pt>
                <c:pt idx="19">
                  <c:v>9.4</c:v>
                </c:pt>
                <c:pt idx="20">
                  <c:v>9.4</c:v>
                </c:pt>
                <c:pt idx="21">
                  <c:v>9.5</c:v>
                </c:pt>
                <c:pt idx="22">
                  <c:v>9.4</c:v>
                </c:pt>
                <c:pt idx="23">
                  <c:v>9.3000000000000007</c:v>
                </c:pt>
                <c:pt idx="24">
                  <c:v>9.1999999999999993</c:v>
                </c:pt>
                <c:pt idx="25">
                  <c:v>9.3000000000000007</c:v>
                </c:pt>
                <c:pt idx="26">
                  <c:v>9.3000000000000007</c:v>
                </c:pt>
                <c:pt idx="27">
                  <c:v>9.1999999999999993</c:v>
                </c:pt>
                <c:pt idx="28">
                  <c:v>9.1</c:v>
                </c:pt>
                <c:pt idx="29">
                  <c:v>9.1</c:v>
                </c:pt>
                <c:pt idx="30">
                  <c:v>9</c:v>
                </c:pt>
                <c:pt idx="31">
                  <c:v>9.1</c:v>
                </c:pt>
                <c:pt idx="32">
                  <c:v>9.1</c:v>
                </c:pt>
                <c:pt idx="33">
                  <c:v>8.9</c:v>
                </c:pt>
                <c:pt idx="34">
                  <c:v>8.9</c:v>
                </c:pt>
                <c:pt idx="35">
                  <c:v>8.8000000000000007</c:v>
                </c:pt>
                <c:pt idx="36">
                  <c:v>8.8000000000000007</c:v>
                </c:pt>
                <c:pt idx="37">
                  <c:v>8.9</c:v>
                </c:pt>
                <c:pt idx="3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E5-B74C-B5EF-A08F0F25C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161680"/>
        <c:axId val="1307055472"/>
      </c:scatterChart>
      <c:valAx>
        <c:axId val="130716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055472"/>
        <c:crosses val="autoZero"/>
        <c:crossBetween val="midCat"/>
      </c:valAx>
      <c:valAx>
        <c:axId val="130705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across the load resistor (mV)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16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903134257830466"/>
          <c:y val="0.13327405186463495"/>
          <c:w val="0.12679958100376809"/>
          <c:h val="0.308691333153127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detection for different heat power - experiment repeated 3 times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Exp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Sheet1!$T$2:$T$12</c:f>
                <c:numCache>
                  <c:formatCode>General</c:formatCode>
                  <c:ptCount val="11"/>
                  <c:pt idx="0">
                    <c:v>4.1633319989322661</c:v>
                  </c:pt>
                  <c:pt idx="1">
                    <c:v>7</c:v>
                  </c:pt>
                  <c:pt idx="2">
                    <c:v>8.7368949480541058</c:v>
                  </c:pt>
                  <c:pt idx="3">
                    <c:v>8.736894948054104</c:v>
                  </c:pt>
                  <c:pt idx="4">
                    <c:v>11.239810200058244</c:v>
                  </c:pt>
                  <c:pt idx="5">
                    <c:v>7.9372539331937721</c:v>
                  </c:pt>
                  <c:pt idx="6">
                    <c:v>16.862186493255653</c:v>
                  </c:pt>
                  <c:pt idx="7">
                    <c:v>7.5498344352707498</c:v>
                  </c:pt>
                  <c:pt idx="8">
                    <c:v>9.2915732431775702</c:v>
                  </c:pt>
                  <c:pt idx="9">
                    <c:v>6.6583281184793934</c:v>
                  </c:pt>
                  <c:pt idx="10">
                    <c:v>5</c:v>
                  </c:pt>
                </c:numCache>
              </c:numRef>
            </c:plus>
            <c:minus>
              <c:numRef>
                <c:f>Sheet1!$T$2:$T$12</c:f>
                <c:numCache>
                  <c:formatCode>General</c:formatCode>
                  <c:ptCount val="11"/>
                  <c:pt idx="0">
                    <c:v>4.1633319989322661</c:v>
                  </c:pt>
                  <c:pt idx="1">
                    <c:v>7</c:v>
                  </c:pt>
                  <c:pt idx="2">
                    <c:v>8.7368949480541058</c:v>
                  </c:pt>
                  <c:pt idx="3">
                    <c:v>8.736894948054104</c:v>
                  </c:pt>
                  <c:pt idx="4">
                    <c:v>11.239810200058244</c:v>
                  </c:pt>
                  <c:pt idx="5">
                    <c:v>7.9372539331937721</c:v>
                  </c:pt>
                  <c:pt idx="6">
                    <c:v>16.862186493255653</c:v>
                  </c:pt>
                  <c:pt idx="7">
                    <c:v>7.5498344352707498</c:v>
                  </c:pt>
                  <c:pt idx="8">
                    <c:v>9.2915732431775702</c:v>
                  </c:pt>
                  <c:pt idx="9">
                    <c:v>6.6583281184793934</c:v>
                  </c:pt>
                  <c:pt idx="10">
                    <c:v>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43</c:v>
                </c:pt>
                <c:pt idx="1">
                  <c:v>72</c:v>
                </c:pt>
                <c:pt idx="2">
                  <c:v>115</c:v>
                </c:pt>
                <c:pt idx="3">
                  <c:v>170</c:v>
                </c:pt>
                <c:pt idx="4">
                  <c:v>196</c:v>
                </c:pt>
                <c:pt idx="5">
                  <c:v>215</c:v>
                </c:pt>
                <c:pt idx="6">
                  <c:v>234</c:v>
                </c:pt>
                <c:pt idx="7">
                  <c:v>275</c:v>
                </c:pt>
                <c:pt idx="8">
                  <c:v>300</c:v>
                </c:pt>
                <c:pt idx="9">
                  <c:v>324</c:v>
                </c:pt>
                <c:pt idx="10">
                  <c:v>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AD-B648-A684-E9FA2431F843}"/>
            </c:ext>
          </c:extLst>
        </c:ser>
        <c:ser>
          <c:idx val="1"/>
          <c:order val="1"/>
          <c:tx>
            <c:v>Exp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Sheet1!$K$2:$K$12</c:f>
              <c:numCache>
                <c:formatCode>General</c:formatCode>
                <c:ptCount val="11"/>
                <c:pt idx="0">
                  <c:v>45</c:v>
                </c:pt>
                <c:pt idx="1">
                  <c:v>74</c:v>
                </c:pt>
                <c:pt idx="2">
                  <c:v>110</c:v>
                </c:pt>
                <c:pt idx="3">
                  <c:v>165</c:v>
                </c:pt>
                <c:pt idx="4">
                  <c:v>218</c:v>
                </c:pt>
                <c:pt idx="5">
                  <c:v>230</c:v>
                </c:pt>
                <c:pt idx="6">
                  <c:v>265</c:v>
                </c:pt>
                <c:pt idx="7">
                  <c:v>290</c:v>
                </c:pt>
                <c:pt idx="8">
                  <c:v>313</c:v>
                </c:pt>
                <c:pt idx="9">
                  <c:v>336</c:v>
                </c:pt>
                <c:pt idx="10">
                  <c:v>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AD-B648-A684-E9FA2431F843}"/>
            </c:ext>
          </c:extLst>
        </c:ser>
        <c:ser>
          <c:idx val="2"/>
          <c:order val="2"/>
          <c:tx>
            <c:v>Exp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Sheet1!$T$2:$T$12</c:f>
                <c:numCache>
                  <c:formatCode>General</c:formatCode>
                  <c:ptCount val="11"/>
                  <c:pt idx="0">
                    <c:v>4.1633319989322661</c:v>
                  </c:pt>
                  <c:pt idx="1">
                    <c:v>7</c:v>
                  </c:pt>
                  <c:pt idx="2">
                    <c:v>8.7368949480541058</c:v>
                  </c:pt>
                  <c:pt idx="3">
                    <c:v>8.736894948054104</c:v>
                  </c:pt>
                  <c:pt idx="4">
                    <c:v>11.239810200058244</c:v>
                  </c:pt>
                  <c:pt idx="5">
                    <c:v>7.9372539331937721</c:v>
                  </c:pt>
                  <c:pt idx="6">
                    <c:v>16.862186493255653</c:v>
                  </c:pt>
                  <c:pt idx="7">
                    <c:v>7.5498344352707498</c:v>
                  </c:pt>
                  <c:pt idx="8">
                    <c:v>9.2915732431775702</c:v>
                  </c:pt>
                  <c:pt idx="9">
                    <c:v>6.6583281184793934</c:v>
                  </c:pt>
                  <c:pt idx="10">
                    <c:v>5</c:v>
                  </c:pt>
                </c:numCache>
              </c:numRef>
            </c:plus>
            <c:minus>
              <c:numRef>
                <c:f>Sheet1!$T$2:$T$12</c:f>
                <c:numCache>
                  <c:formatCode>General</c:formatCode>
                  <c:ptCount val="11"/>
                  <c:pt idx="0">
                    <c:v>4.1633319989322661</c:v>
                  </c:pt>
                  <c:pt idx="1">
                    <c:v>7</c:v>
                  </c:pt>
                  <c:pt idx="2">
                    <c:v>8.7368949480541058</c:v>
                  </c:pt>
                  <c:pt idx="3">
                    <c:v>8.736894948054104</c:v>
                  </c:pt>
                  <c:pt idx="4">
                    <c:v>11.239810200058244</c:v>
                  </c:pt>
                  <c:pt idx="5">
                    <c:v>7.9372539331937721</c:v>
                  </c:pt>
                  <c:pt idx="6">
                    <c:v>16.862186493255653</c:v>
                  </c:pt>
                  <c:pt idx="7">
                    <c:v>7.5498344352707498</c:v>
                  </c:pt>
                  <c:pt idx="8">
                    <c:v>9.2915732431775702</c:v>
                  </c:pt>
                  <c:pt idx="9">
                    <c:v>6.6583281184793934</c:v>
                  </c:pt>
                  <c:pt idx="10">
                    <c:v>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Sheet1!$Q$2:$Q$12</c:f>
              <c:numCache>
                <c:formatCode>General</c:formatCode>
                <c:ptCount val="11"/>
                <c:pt idx="0">
                  <c:v>51</c:v>
                </c:pt>
                <c:pt idx="1">
                  <c:v>85</c:v>
                </c:pt>
                <c:pt idx="2">
                  <c:v>127</c:v>
                </c:pt>
                <c:pt idx="3">
                  <c:v>182</c:v>
                </c:pt>
                <c:pt idx="4">
                  <c:v>211</c:v>
                </c:pt>
                <c:pt idx="5">
                  <c:v>227</c:v>
                </c:pt>
                <c:pt idx="6">
                  <c:v>261</c:v>
                </c:pt>
                <c:pt idx="7">
                  <c:v>284</c:v>
                </c:pt>
                <c:pt idx="8">
                  <c:v>318</c:v>
                </c:pt>
                <c:pt idx="9">
                  <c:v>335</c:v>
                </c:pt>
                <c:pt idx="10">
                  <c:v>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AD-B648-A684-E9FA2431F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326720"/>
        <c:axId val="1344398896"/>
      </c:scatterChart>
      <c:valAx>
        <c:axId val="1305326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Heat power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398896"/>
        <c:crosses val="autoZero"/>
        <c:crossBetween val="midCat"/>
      </c:valAx>
      <c:valAx>
        <c:axId val="134439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(ºC)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32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fan</a:t>
            </a:r>
            <a:r>
              <a:rPr lang="en-US" baseline="0"/>
              <a:t> on experiment (conc)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Sheet1!$F$129:$F$133</c:f>
                <c:numCache>
                  <c:formatCode>General</c:formatCode>
                  <c:ptCount val="5"/>
                  <c:pt idx="0">
                    <c:v>6.0277137733417208</c:v>
                  </c:pt>
                  <c:pt idx="1">
                    <c:v>22.188585654190131</c:v>
                  </c:pt>
                  <c:pt idx="2">
                    <c:v>41.549167661137759</c:v>
                  </c:pt>
                  <c:pt idx="3">
                    <c:v>74.795276143171918</c:v>
                  </c:pt>
                  <c:pt idx="4">
                    <c:v>114.66036804406308</c:v>
                  </c:pt>
                </c:numCache>
              </c:numRef>
            </c:plus>
            <c:minus>
              <c:numRef>
                <c:f>Sheet1!$F$129:$F$133</c:f>
                <c:numCache>
                  <c:formatCode>General</c:formatCode>
                  <c:ptCount val="5"/>
                  <c:pt idx="0">
                    <c:v>6.0277137733417208</c:v>
                  </c:pt>
                  <c:pt idx="1">
                    <c:v>22.188585654190131</c:v>
                  </c:pt>
                  <c:pt idx="2">
                    <c:v>41.549167661137759</c:v>
                  </c:pt>
                  <c:pt idx="3">
                    <c:v>74.795276143171918</c:v>
                  </c:pt>
                  <c:pt idx="4">
                    <c:v>114.66036804406308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Sheet1!$A$129:$A$133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Sheet1!$E$129:$E$133</c:f>
              <c:numCache>
                <c:formatCode>General</c:formatCode>
                <c:ptCount val="5"/>
                <c:pt idx="0">
                  <c:v>45.666666666666664</c:v>
                </c:pt>
                <c:pt idx="1">
                  <c:v>111.66666666666667</c:v>
                </c:pt>
                <c:pt idx="2">
                  <c:v>206.66666666666666</c:v>
                </c:pt>
                <c:pt idx="3">
                  <c:v>298.33333333333331</c:v>
                </c:pt>
                <c:pt idx="4">
                  <c:v>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B4-A044-9D52-093DF0307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070271"/>
        <c:axId val="1312388559"/>
      </c:scatterChart>
      <c:valAx>
        <c:axId val="1266070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 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388559"/>
        <c:crosses val="autoZero"/>
        <c:crossBetween val="midCat"/>
      </c:valAx>
      <c:valAx>
        <c:axId val="131238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Avergae 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070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Heating</a:t>
            </a:r>
            <a:r>
              <a:rPr lang="en-US" baseline="0"/>
              <a:t> time evaluation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136488917727856E-2"/>
          <c:y val="0.14016450418431706"/>
          <c:w val="0.86307609771259941"/>
          <c:h val="0.74949414457467078"/>
        </c:manualLayout>
      </c:layout>
      <c:scatterChart>
        <c:scatterStyle val="smoothMarker"/>
        <c:varyColors val="0"/>
        <c:ser>
          <c:idx val="0"/>
          <c:order val="0"/>
          <c:tx>
            <c:v>Sensor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Sheet1!$Z$286:$Z$324</c:f>
              <c:numCache>
                <c:formatCode>General</c:formatCode>
                <c:ptCount val="39"/>
                <c:pt idx="0">
                  <c:v>97.737692307692313</c:v>
                </c:pt>
                <c:pt idx="1">
                  <c:v>139.59095890410958</c:v>
                </c:pt>
                <c:pt idx="2">
                  <c:v>165.84666666666666</c:v>
                </c:pt>
                <c:pt idx="3">
                  <c:v>183.03650224215244</c:v>
                </c:pt>
                <c:pt idx="4">
                  <c:v>196.29538461538459</c:v>
                </c:pt>
                <c:pt idx="5">
                  <c:v>210.52020618556705</c:v>
                </c:pt>
                <c:pt idx="6">
                  <c:v>219.61010752688168</c:v>
                </c:pt>
                <c:pt idx="7">
                  <c:v>224.45472527472526</c:v>
                </c:pt>
                <c:pt idx="8">
                  <c:v>232.13454545454545</c:v>
                </c:pt>
                <c:pt idx="9">
                  <c:v>236.17421965317922</c:v>
                </c:pt>
                <c:pt idx="10">
                  <c:v>241.78355029585802</c:v>
                </c:pt>
                <c:pt idx="11">
                  <c:v>241.78355029585802</c:v>
                </c:pt>
                <c:pt idx="12">
                  <c:v>246.16795180722892</c:v>
                </c:pt>
                <c:pt idx="13">
                  <c:v>247.66484848484848</c:v>
                </c:pt>
                <c:pt idx="14">
                  <c:v>250.7137423312883</c:v>
                </c:pt>
                <c:pt idx="15">
                  <c:v>252.26641975308644</c:v>
                </c:pt>
                <c:pt idx="16">
                  <c:v>255.43</c:v>
                </c:pt>
                <c:pt idx="17">
                  <c:v>252.26641975308644</c:v>
                </c:pt>
                <c:pt idx="18">
                  <c:v>258.67367088607591</c:v>
                </c:pt>
                <c:pt idx="19">
                  <c:v>260.32649681528665</c:v>
                </c:pt>
                <c:pt idx="20">
                  <c:v>258.67367088607591</c:v>
                </c:pt>
                <c:pt idx="21">
                  <c:v>260.32649681528665</c:v>
                </c:pt>
                <c:pt idx="22">
                  <c:v>255.43</c:v>
                </c:pt>
                <c:pt idx="23">
                  <c:v>257.04163522012573</c:v>
                </c:pt>
                <c:pt idx="24">
                  <c:v>253.83838509316772</c:v>
                </c:pt>
                <c:pt idx="25">
                  <c:v>253.83838509316772</c:v>
                </c:pt>
                <c:pt idx="26">
                  <c:v>255.43</c:v>
                </c:pt>
                <c:pt idx="27">
                  <c:v>253.83838509316772</c:v>
                </c:pt>
                <c:pt idx="28">
                  <c:v>258.67367088607591</c:v>
                </c:pt>
                <c:pt idx="29">
                  <c:v>260.32649681528665</c:v>
                </c:pt>
                <c:pt idx="30">
                  <c:v>260.32649681528665</c:v>
                </c:pt>
                <c:pt idx="31">
                  <c:v>255.43</c:v>
                </c:pt>
                <c:pt idx="32">
                  <c:v>257.04163522012573</c:v>
                </c:pt>
                <c:pt idx="33">
                  <c:v>255.43</c:v>
                </c:pt>
                <c:pt idx="34">
                  <c:v>257.04163522012573</c:v>
                </c:pt>
                <c:pt idx="35">
                  <c:v>257.04163522012573</c:v>
                </c:pt>
                <c:pt idx="36">
                  <c:v>255.43</c:v>
                </c:pt>
                <c:pt idx="37">
                  <c:v>257.04163522012573</c:v>
                </c:pt>
                <c:pt idx="38">
                  <c:v>258.67367088607591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3E-CE4C-A863-9E54123372FA}"/>
            </c:ext>
          </c:extLst>
        </c:ser>
        <c:ser>
          <c:idx val="1"/>
          <c:order val="1"/>
          <c:tx>
            <c:v>Sensor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Sheet1!$AA$286:$AA$324</c:f>
              <c:numCache>
                <c:formatCode>General</c:formatCode>
                <c:ptCount val="39"/>
                <c:pt idx="0">
                  <c:v>148.81503649635039</c:v>
                </c:pt>
                <c:pt idx="1">
                  <c:v>209.43641025641028</c:v>
                </c:pt>
                <c:pt idx="2">
                  <c:v>236.17421965317922</c:v>
                </c:pt>
                <c:pt idx="3">
                  <c:v>247.66484848484848</c:v>
                </c:pt>
                <c:pt idx="4">
                  <c:v>250.7137423312883</c:v>
                </c:pt>
                <c:pt idx="5">
                  <c:v>257.04163522012573</c:v>
                </c:pt>
                <c:pt idx="6">
                  <c:v>262.00051282051282</c:v>
                </c:pt>
                <c:pt idx="7">
                  <c:v>263.69612903225806</c:v>
                </c:pt>
                <c:pt idx="8">
                  <c:v>265.41376623376624</c:v>
                </c:pt>
                <c:pt idx="9">
                  <c:v>265.41376623376624</c:v>
                </c:pt>
                <c:pt idx="10">
                  <c:v>265.41376623376624</c:v>
                </c:pt>
                <c:pt idx="11">
                  <c:v>265.41376623376624</c:v>
                </c:pt>
                <c:pt idx="12">
                  <c:v>270.70317880794704</c:v>
                </c:pt>
                <c:pt idx="13">
                  <c:v>267.15385620915026</c:v>
                </c:pt>
                <c:pt idx="14">
                  <c:v>268.91684210526313</c:v>
                </c:pt>
                <c:pt idx="15">
                  <c:v>267.15385620915026</c:v>
                </c:pt>
                <c:pt idx="16">
                  <c:v>268.91684210526313</c:v>
                </c:pt>
                <c:pt idx="17">
                  <c:v>267.15385620915026</c:v>
                </c:pt>
                <c:pt idx="18">
                  <c:v>268.91684210526313</c:v>
                </c:pt>
                <c:pt idx="19">
                  <c:v>267.15385620915026</c:v>
                </c:pt>
                <c:pt idx="20">
                  <c:v>268.91684210526313</c:v>
                </c:pt>
                <c:pt idx="21">
                  <c:v>268.91684210526313</c:v>
                </c:pt>
                <c:pt idx="22">
                  <c:v>270.70317880794704</c:v>
                </c:pt>
                <c:pt idx="23">
                  <c:v>274.34778523489933</c:v>
                </c:pt>
                <c:pt idx="24">
                  <c:v>270.70317880794704</c:v>
                </c:pt>
                <c:pt idx="25">
                  <c:v>268.91684210526313</c:v>
                </c:pt>
                <c:pt idx="26">
                  <c:v>270.70317880794704</c:v>
                </c:pt>
                <c:pt idx="27">
                  <c:v>272.51333333333338</c:v>
                </c:pt>
                <c:pt idx="28">
                  <c:v>272.51333333333338</c:v>
                </c:pt>
                <c:pt idx="29">
                  <c:v>272.51333333333338</c:v>
                </c:pt>
                <c:pt idx="30">
                  <c:v>272.51333333333338</c:v>
                </c:pt>
                <c:pt idx="31">
                  <c:v>274.34778523489933</c:v>
                </c:pt>
                <c:pt idx="32">
                  <c:v>276.20702702702698</c:v>
                </c:pt>
                <c:pt idx="33">
                  <c:v>274.34778523489933</c:v>
                </c:pt>
                <c:pt idx="34">
                  <c:v>272.51333333333338</c:v>
                </c:pt>
                <c:pt idx="35">
                  <c:v>272.51333333333338</c:v>
                </c:pt>
                <c:pt idx="36">
                  <c:v>270.70317880794704</c:v>
                </c:pt>
                <c:pt idx="37">
                  <c:v>272.51333333333338</c:v>
                </c:pt>
                <c:pt idx="38">
                  <c:v>270.70317880794704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3E-CE4C-A863-9E54123372FA}"/>
            </c:ext>
          </c:extLst>
        </c:ser>
        <c:ser>
          <c:idx val="2"/>
          <c:order val="2"/>
          <c:tx>
            <c:v>Sensor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Sheet1!$AB$286:$AB$324</c:f>
              <c:numCache>
                <c:formatCode>General</c:formatCode>
                <c:ptCount val="39"/>
                <c:pt idx="0">
                  <c:v>191.66826291079809</c:v>
                </c:pt>
                <c:pt idx="1">
                  <c:v>317.00945736434107</c:v>
                </c:pt>
                <c:pt idx="2">
                  <c:v>401.14078431372548</c:v>
                </c:pt>
                <c:pt idx="3">
                  <c:v>454.73555555555555</c:v>
                </c:pt>
                <c:pt idx="4">
                  <c:v>505.35283950617293</c:v>
                </c:pt>
                <c:pt idx="5">
                  <c:v>538.65368421052631</c:v>
                </c:pt>
                <c:pt idx="6">
                  <c:v>568.62444444444452</c:v>
                </c:pt>
                <c:pt idx="7">
                  <c:v>584.89428571428584</c:v>
                </c:pt>
                <c:pt idx="8">
                  <c:v>602.12117647058824</c:v>
                </c:pt>
                <c:pt idx="9">
                  <c:v>611.12029850746262</c:v>
                </c:pt>
                <c:pt idx="10">
                  <c:v>639.80499999999995</c:v>
                </c:pt>
                <c:pt idx="11">
                  <c:v>639.80499999999995</c:v>
                </c:pt>
                <c:pt idx="12">
                  <c:v>649.97365079365079</c:v>
                </c:pt>
                <c:pt idx="13">
                  <c:v>660.47032258064519</c:v>
                </c:pt>
                <c:pt idx="14">
                  <c:v>671.3111475409836</c:v>
                </c:pt>
                <c:pt idx="15">
                  <c:v>660.47032258064519</c:v>
                </c:pt>
                <c:pt idx="16">
                  <c:v>671.3111475409836</c:v>
                </c:pt>
                <c:pt idx="17">
                  <c:v>694.09525423728815</c:v>
                </c:pt>
                <c:pt idx="18">
                  <c:v>682.51333333333321</c:v>
                </c:pt>
                <c:pt idx="19">
                  <c:v>694.09525423728815</c:v>
                </c:pt>
                <c:pt idx="20">
                  <c:v>706.07655172413797</c:v>
                </c:pt>
                <c:pt idx="21">
                  <c:v>706.07655172413797</c:v>
                </c:pt>
                <c:pt idx="22">
                  <c:v>706.07655172413797</c:v>
                </c:pt>
                <c:pt idx="23">
                  <c:v>706.07655172413797</c:v>
                </c:pt>
                <c:pt idx="24">
                  <c:v>706.07655172413797</c:v>
                </c:pt>
                <c:pt idx="25">
                  <c:v>706.07655172413797</c:v>
                </c:pt>
                <c:pt idx="26">
                  <c:v>706.07655172413797</c:v>
                </c:pt>
                <c:pt idx="27">
                  <c:v>718.47824561403502</c:v>
                </c:pt>
                <c:pt idx="28">
                  <c:v>718.47824561403502</c:v>
                </c:pt>
                <c:pt idx="29">
                  <c:v>731.32285714285706</c:v>
                </c:pt>
                <c:pt idx="30">
                  <c:v>718.47824561403502</c:v>
                </c:pt>
                <c:pt idx="31">
                  <c:v>718.47824561403502</c:v>
                </c:pt>
                <c:pt idx="32">
                  <c:v>731.32285714285706</c:v>
                </c:pt>
                <c:pt idx="33">
                  <c:v>718.47824561403502</c:v>
                </c:pt>
                <c:pt idx="34">
                  <c:v>718.47824561403502</c:v>
                </c:pt>
                <c:pt idx="35">
                  <c:v>718.47824561403502</c:v>
                </c:pt>
                <c:pt idx="36">
                  <c:v>718.47824561403502</c:v>
                </c:pt>
                <c:pt idx="37">
                  <c:v>718.47824561403502</c:v>
                </c:pt>
                <c:pt idx="38">
                  <c:v>731.32285714285706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3E-CE4C-A863-9E54123372FA}"/>
            </c:ext>
          </c:extLst>
        </c:ser>
        <c:ser>
          <c:idx val="3"/>
          <c:order val="3"/>
          <c:tx>
            <c:v>Sensor 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Sheet1!$AC$286:$AC$324</c:f>
              <c:numCache>
                <c:formatCode>General</c:formatCode>
                <c:ptCount val="39"/>
                <c:pt idx="0">
                  <c:v>234.81218390804599</c:v>
                </c:pt>
                <c:pt idx="1">
                  <c:v>338.02297520661153</c:v>
                </c:pt>
                <c:pt idx="2">
                  <c:v>393.41076923076923</c:v>
                </c:pt>
                <c:pt idx="3">
                  <c:v>430.75894736842105</c:v>
                </c:pt>
                <c:pt idx="4">
                  <c:v>454.73555555555555</c:v>
                </c:pt>
                <c:pt idx="5">
                  <c:v>470.44436781609198</c:v>
                </c:pt>
                <c:pt idx="6">
                  <c:v>481.53294117647062</c:v>
                </c:pt>
                <c:pt idx="7">
                  <c:v>481.53294117647062</c:v>
                </c:pt>
                <c:pt idx="8">
                  <c:v>493.15590361445783</c:v>
                </c:pt>
                <c:pt idx="9">
                  <c:v>493.15590361445783</c:v>
                </c:pt>
                <c:pt idx="10">
                  <c:v>499.18000000000006</c:v>
                </c:pt>
                <c:pt idx="11">
                  <c:v>499.18000000000006</c:v>
                </c:pt>
                <c:pt idx="12">
                  <c:v>499.18000000000006</c:v>
                </c:pt>
                <c:pt idx="13">
                  <c:v>499.18000000000006</c:v>
                </c:pt>
                <c:pt idx="14">
                  <c:v>493.15590361445783</c:v>
                </c:pt>
                <c:pt idx="15">
                  <c:v>499.18000000000006</c:v>
                </c:pt>
                <c:pt idx="16">
                  <c:v>499.18000000000006</c:v>
                </c:pt>
                <c:pt idx="17">
                  <c:v>493.15590361445783</c:v>
                </c:pt>
                <c:pt idx="18">
                  <c:v>499.18000000000006</c:v>
                </c:pt>
                <c:pt idx="19">
                  <c:v>499.18000000000006</c:v>
                </c:pt>
                <c:pt idx="20">
                  <c:v>499.18000000000006</c:v>
                </c:pt>
                <c:pt idx="21">
                  <c:v>493.15590361445783</c:v>
                </c:pt>
                <c:pt idx="22">
                  <c:v>499.18000000000006</c:v>
                </c:pt>
                <c:pt idx="23">
                  <c:v>493.15590361445783</c:v>
                </c:pt>
                <c:pt idx="24">
                  <c:v>493.15590361445783</c:v>
                </c:pt>
                <c:pt idx="25">
                  <c:v>493.15590361445783</c:v>
                </c:pt>
                <c:pt idx="26">
                  <c:v>493.15590361445783</c:v>
                </c:pt>
                <c:pt idx="27">
                  <c:v>493.15590361445783</c:v>
                </c:pt>
                <c:pt idx="28">
                  <c:v>487.27523809523802</c:v>
                </c:pt>
                <c:pt idx="29">
                  <c:v>493.15590361445783</c:v>
                </c:pt>
                <c:pt idx="30">
                  <c:v>493.15590361445783</c:v>
                </c:pt>
                <c:pt idx="31">
                  <c:v>493.15590361445783</c:v>
                </c:pt>
                <c:pt idx="32">
                  <c:v>499.18000000000006</c:v>
                </c:pt>
                <c:pt idx="33">
                  <c:v>493.15590361445783</c:v>
                </c:pt>
                <c:pt idx="34">
                  <c:v>487.27523809523802</c:v>
                </c:pt>
                <c:pt idx="35">
                  <c:v>487.27523809523802</c:v>
                </c:pt>
                <c:pt idx="36">
                  <c:v>487.27523809523802</c:v>
                </c:pt>
                <c:pt idx="37">
                  <c:v>493.15590361445783</c:v>
                </c:pt>
                <c:pt idx="38">
                  <c:v>487.27523809523802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3E-CE4C-A863-9E54123372FA}"/>
            </c:ext>
          </c:extLst>
        </c:ser>
        <c:ser>
          <c:idx val="4"/>
          <c:order val="4"/>
          <c:tx>
            <c:v>Sensor 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Sheet1!$AD$286:$AD$324</c:f>
              <c:numCache>
                <c:formatCode>General</c:formatCode>
                <c:ptCount val="39"/>
                <c:pt idx="0">
                  <c:v>210.52020618556705</c:v>
                </c:pt>
                <c:pt idx="1">
                  <c:v>292.03714285714284</c:v>
                </c:pt>
                <c:pt idx="2">
                  <c:v>338.02297520661153</c:v>
                </c:pt>
                <c:pt idx="3">
                  <c:v>362.01185840707961</c:v>
                </c:pt>
                <c:pt idx="4">
                  <c:v>378.80962962962968</c:v>
                </c:pt>
                <c:pt idx="5">
                  <c:v>389.65619047619043</c:v>
                </c:pt>
                <c:pt idx="6">
                  <c:v>397.23825242718448</c:v>
                </c:pt>
                <c:pt idx="7">
                  <c:v>409.18</c:v>
                </c:pt>
                <c:pt idx="8">
                  <c:v>413.3214141414141</c:v>
                </c:pt>
                <c:pt idx="9">
                  <c:v>417.54734693877543</c:v>
                </c:pt>
                <c:pt idx="10">
                  <c:v>421.86041237113409</c:v>
                </c:pt>
                <c:pt idx="11">
                  <c:v>426.26333333333338</c:v>
                </c:pt>
                <c:pt idx="12">
                  <c:v>430.75894736842105</c:v>
                </c:pt>
                <c:pt idx="13">
                  <c:v>435.35021276595739</c:v>
                </c:pt>
                <c:pt idx="14">
                  <c:v>435.35021276595739</c:v>
                </c:pt>
                <c:pt idx="15">
                  <c:v>440.0402150537634</c:v>
                </c:pt>
                <c:pt idx="16">
                  <c:v>435.35021276595739</c:v>
                </c:pt>
                <c:pt idx="17">
                  <c:v>444.8321739130435</c:v>
                </c:pt>
                <c:pt idx="18">
                  <c:v>444.8321739130435</c:v>
                </c:pt>
                <c:pt idx="19">
                  <c:v>449.72945054945052</c:v>
                </c:pt>
                <c:pt idx="20">
                  <c:v>444.8321739130435</c:v>
                </c:pt>
                <c:pt idx="21">
                  <c:v>449.72945054945052</c:v>
                </c:pt>
                <c:pt idx="22">
                  <c:v>449.72945054945052</c:v>
                </c:pt>
                <c:pt idx="23">
                  <c:v>449.72945054945052</c:v>
                </c:pt>
                <c:pt idx="24">
                  <c:v>454.73555555555555</c:v>
                </c:pt>
                <c:pt idx="25">
                  <c:v>454.73555555555555</c:v>
                </c:pt>
                <c:pt idx="26">
                  <c:v>465.08909090909088</c:v>
                </c:pt>
                <c:pt idx="27">
                  <c:v>465.08909090909088</c:v>
                </c:pt>
                <c:pt idx="28">
                  <c:v>459.85415730337081</c:v>
                </c:pt>
                <c:pt idx="29">
                  <c:v>459.85415730337081</c:v>
                </c:pt>
                <c:pt idx="30">
                  <c:v>459.85415730337081</c:v>
                </c:pt>
                <c:pt idx="31">
                  <c:v>465.08909090909088</c:v>
                </c:pt>
                <c:pt idx="32">
                  <c:v>475.92418604651158</c:v>
                </c:pt>
                <c:pt idx="33">
                  <c:v>465.08909090909088</c:v>
                </c:pt>
                <c:pt idx="34">
                  <c:v>475.92418604651158</c:v>
                </c:pt>
                <c:pt idx="35">
                  <c:v>475.92418604651158</c:v>
                </c:pt>
                <c:pt idx="36">
                  <c:v>475.92418604651158</c:v>
                </c:pt>
                <c:pt idx="37">
                  <c:v>475.92418604651158</c:v>
                </c:pt>
                <c:pt idx="38">
                  <c:v>475.92418604651158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3E-CE4C-A863-9E54123372FA}"/>
            </c:ext>
          </c:extLst>
        </c:ser>
        <c:ser>
          <c:idx val="5"/>
          <c:order val="5"/>
          <c:tx>
            <c:v>Sensor 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Sheet1!$A$286:$A$324</c:f>
              <c:numCache>
                <c:formatCode>General</c:formatCode>
                <c:ptCount val="3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</c:numCache>
            </c:numRef>
          </c:xVal>
          <c:yVal>
            <c:numRef>
              <c:f>Sheet1!$AE$286:$AE$324</c:f>
              <c:numCache>
                <c:formatCode>General</c:formatCode>
                <c:ptCount val="39"/>
                <c:pt idx="0">
                  <c:v>171.44890756302522</c:v>
                </c:pt>
                <c:pt idx="1">
                  <c:v>262.00051282051282</c:v>
                </c:pt>
                <c:pt idx="2">
                  <c:v>314.56461538461537</c:v>
                </c:pt>
                <c:pt idx="3">
                  <c:v>352.62827586206896</c:v>
                </c:pt>
                <c:pt idx="4">
                  <c:v>371.9072727272727</c:v>
                </c:pt>
                <c:pt idx="5">
                  <c:v>385.97245283018867</c:v>
                </c:pt>
                <c:pt idx="6">
                  <c:v>397.23825242718448</c:v>
                </c:pt>
                <c:pt idx="7">
                  <c:v>409.18</c:v>
                </c:pt>
                <c:pt idx="8">
                  <c:v>409.18</c:v>
                </c:pt>
                <c:pt idx="9">
                  <c:v>417.54734693877543</c:v>
                </c:pt>
                <c:pt idx="10">
                  <c:v>421.86041237113409</c:v>
                </c:pt>
                <c:pt idx="11">
                  <c:v>417.54734693877543</c:v>
                </c:pt>
                <c:pt idx="12">
                  <c:v>426.26333333333338</c:v>
                </c:pt>
                <c:pt idx="13">
                  <c:v>430.75894736842105</c:v>
                </c:pt>
                <c:pt idx="14">
                  <c:v>430.75894736842105</c:v>
                </c:pt>
                <c:pt idx="15">
                  <c:v>430.75894736842105</c:v>
                </c:pt>
                <c:pt idx="16">
                  <c:v>435.35021276595739</c:v>
                </c:pt>
                <c:pt idx="17">
                  <c:v>435.35021276595739</c:v>
                </c:pt>
                <c:pt idx="18">
                  <c:v>435.35021276595739</c:v>
                </c:pt>
                <c:pt idx="19">
                  <c:v>435.35021276595739</c:v>
                </c:pt>
                <c:pt idx="20">
                  <c:v>435.35021276595739</c:v>
                </c:pt>
                <c:pt idx="21">
                  <c:v>430.75894736842105</c:v>
                </c:pt>
                <c:pt idx="22">
                  <c:v>435.35021276595739</c:v>
                </c:pt>
                <c:pt idx="23">
                  <c:v>440.0402150537634</c:v>
                </c:pt>
                <c:pt idx="24">
                  <c:v>444.8321739130435</c:v>
                </c:pt>
                <c:pt idx="25">
                  <c:v>440.0402150537634</c:v>
                </c:pt>
                <c:pt idx="26">
                  <c:v>440.0402150537634</c:v>
                </c:pt>
                <c:pt idx="27">
                  <c:v>444.8321739130435</c:v>
                </c:pt>
                <c:pt idx="28">
                  <c:v>449.72945054945052</c:v>
                </c:pt>
                <c:pt idx="29">
                  <c:v>449.72945054945052</c:v>
                </c:pt>
                <c:pt idx="30">
                  <c:v>454.73555555555555</c:v>
                </c:pt>
                <c:pt idx="31">
                  <c:v>449.72945054945052</c:v>
                </c:pt>
                <c:pt idx="32">
                  <c:v>449.72945054945052</c:v>
                </c:pt>
                <c:pt idx="33">
                  <c:v>459.85415730337081</c:v>
                </c:pt>
                <c:pt idx="34">
                  <c:v>459.85415730337081</c:v>
                </c:pt>
                <c:pt idx="35">
                  <c:v>465.08909090909088</c:v>
                </c:pt>
                <c:pt idx="36">
                  <c:v>465.08909090909088</c:v>
                </c:pt>
                <c:pt idx="37">
                  <c:v>459.85415730337081</c:v>
                </c:pt>
                <c:pt idx="38">
                  <c:v>454.73555555555555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3E-CE4C-A863-9E5412337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522095"/>
        <c:axId val="1077555295"/>
      </c:scatterChart>
      <c:valAx>
        <c:axId val="106452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555295"/>
        <c:crosses val="autoZero"/>
        <c:crossBetween val="midCat"/>
      </c:valAx>
      <c:valAx>
        <c:axId val="107755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</a:t>
                </a:r>
                <a:r>
                  <a:rPr lang="en-US" baseline="0"/>
                  <a:t> (kΩ)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522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826864468814477"/>
          <c:y val="0.14249390650971772"/>
          <c:w val="0.11473736484450546"/>
          <c:h val="0.33943249475033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Sheet1!$D$341:$D$362</c:f>
              <c:numCache>
                <c:formatCode>General</c:formatCode>
                <c:ptCount val="22"/>
                <c:pt idx="0">
                  <c:v>1.9400000000000001E-2</c:v>
                </c:pt>
                <c:pt idx="1">
                  <c:v>2.5000000000000001E-2</c:v>
                </c:pt>
                <c:pt idx="2">
                  <c:v>2.9000000000000001E-2</c:v>
                </c:pt>
                <c:pt idx="3">
                  <c:v>3.1699999999999999E-2</c:v>
                </c:pt>
                <c:pt idx="4">
                  <c:v>3.4500000000000003E-2</c:v>
                </c:pt>
                <c:pt idx="5">
                  <c:v>3.6499999999999998E-2</c:v>
                </c:pt>
                <c:pt idx="6">
                  <c:v>3.8100000000000002E-2</c:v>
                </c:pt>
                <c:pt idx="7">
                  <c:v>3.95E-2</c:v>
                </c:pt>
                <c:pt idx="8">
                  <c:v>4.1399999999999999E-2</c:v>
                </c:pt>
                <c:pt idx="9">
                  <c:v>4.2599999999999999E-2</c:v>
                </c:pt>
                <c:pt idx="10">
                  <c:v>4.2999999999999997E-2</c:v>
                </c:pt>
                <c:pt idx="11">
                  <c:v>4.36E-2</c:v>
                </c:pt>
                <c:pt idx="12">
                  <c:v>4.41E-2</c:v>
                </c:pt>
                <c:pt idx="13">
                  <c:v>4.4600000000000001E-2</c:v>
                </c:pt>
                <c:pt idx="14">
                  <c:v>4.5100000000000001E-2</c:v>
                </c:pt>
                <c:pt idx="15">
                  <c:v>4.5600000000000002E-2</c:v>
                </c:pt>
                <c:pt idx="16">
                  <c:v>4.6100000000000002E-2</c:v>
                </c:pt>
                <c:pt idx="17">
                  <c:v>4.6899999999999997E-2</c:v>
                </c:pt>
                <c:pt idx="18">
                  <c:v>4.7699999999999999E-2</c:v>
                </c:pt>
                <c:pt idx="19">
                  <c:v>4.8000000000000001E-2</c:v>
                </c:pt>
                <c:pt idx="20">
                  <c:v>4.7E-2</c:v>
                </c:pt>
                <c:pt idx="21">
                  <c:v>5.7099999999999998E-2</c:v>
                </c:pt>
              </c:numCache>
            </c:numRef>
          </c:xVal>
          <c:yVal>
            <c:numRef>
              <c:f>Sheet1!$E$341:$E$362</c:f>
              <c:numCache>
                <c:formatCode>General</c:formatCode>
                <c:ptCount val="22"/>
                <c:pt idx="0">
                  <c:v>0</c:v>
                </c:pt>
                <c:pt idx="1">
                  <c:v>45</c:v>
                </c:pt>
                <c:pt idx="2">
                  <c:v>60</c:v>
                </c:pt>
                <c:pt idx="3">
                  <c:v>25</c:v>
                </c:pt>
                <c:pt idx="4">
                  <c:v>40</c:v>
                </c:pt>
                <c:pt idx="5">
                  <c:v>20</c:v>
                </c:pt>
                <c:pt idx="6">
                  <c:v>20</c:v>
                </c:pt>
                <c:pt idx="7">
                  <c:v>22</c:v>
                </c:pt>
                <c:pt idx="8">
                  <c:v>30</c:v>
                </c:pt>
                <c:pt idx="9">
                  <c:v>25</c:v>
                </c:pt>
                <c:pt idx="10">
                  <c:v>20</c:v>
                </c:pt>
                <c:pt idx="11">
                  <c:v>15</c:v>
                </c:pt>
                <c:pt idx="12">
                  <c:v>11</c:v>
                </c:pt>
                <c:pt idx="13">
                  <c:v>20</c:v>
                </c:pt>
                <c:pt idx="14">
                  <c:v>25</c:v>
                </c:pt>
                <c:pt idx="15">
                  <c:v>21</c:v>
                </c:pt>
                <c:pt idx="16">
                  <c:v>15</c:v>
                </c:pt>
                <c:pt idx="17">
                  <c:v>20</c:v>
                </c:pt>
                <c:pt idx="18">
                  <c:v>11</c:v>
                </c:pt>
                <c:pt idx="19">
                  <c:v>7</c:v>
                </c:pt>
                <c:pt idx="20">
                  <c:v>14</c:v>
                </c:pt>
                <c:pt idx="21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48-0041-AEA1-74E8077A7CC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Sheet1!$O$341:$O$363</c:f>
              <c:numCache>
                <c:formatCode>General</c:formatCode>
                <c:ptCount val="23"/>
                <c:pt idx="0">
                  <c:v>2.1299999999999999E-2</c:v>
                </c:pt>
                <c:pt idx="1">
                  <c:v>2.5899999999999999E-2</c:v>
                </c:pt>
                <c:pt idx="2">
                  <c:v>0.03</c:v>
                </c:pt>
                <c:pt idx="3">
                  <c:v>3.2300000000000002E-2</c:v>
                </c:pt>
                <c:pt idx="4">
                  <c:v>3.3799999999999997E-2</c:v>
                </c:pt>
                <c:pt idx="5">
                  <c:v>3.5700000000000003E-2</c:v>
                </c:pt>
                <c:pt idx="6">
                  <c:v>3.6499999999999998E-2</c:v>
                </c:pt>
                <c:pt idx="7">
                  <c:v>3.6999999999999998E-2</c:v>
                </c:pt>
                <c:pt idx="8">
                  <c:v>3.7999999999999999E-2</c:v>
                </c:pt>
                <c:pt idx="9">
                  <c:v>3.9399999999999998E-2</c:v>
                </c:pt>
                <c:pt idx="10">
                  <c:v>3.9600000000000003E-2</c:v>
                </c:pt>
                <c:pt idx="11">
                  <c:v>3.9399999999999998E-2</c:v>
                </c:pt>
                <c:pt idx="12">
                  <c:v>0.04</c:v>
                </c:pt>
                <c:pt idx="13">
                  <c:v>4.0599999999999997E-2</c:v>
                </c:pt>
                <c:pt idx="14">
                  <c:v>0.04</c:v>
                </c:pt>
                <c:pt idx="15">
                  <c:v>4.02E-2</c:v>
                </c:pt>
                <c:pt idx="16">
                  <c:v>4.0599999999999997E-2</c:v>
                </c:pt>
                <c:pt idx="17">
                  <c:v>4.0300000000000002E-2</c:v>
                </c:pt>
                <c:pt idx="18">
                  <c:v>4.1000000000000002E-2</c:v>
                </c:pt>
                <c:pt idx="19">
                  <c:v>4.0599999999999997E-2</c:v>
                </c:pt>
                <c:pt idx="20">
                  <c:v>3.9199999999999999E-2</c:v>
                </c:pt>
                <c:pt idx="21">
                  <c:v>4.1300000000000003E-2</c:v>
                </c:pt>
                <c:pt idx="22">
                  <c:v>4.2900000000000001E-2</c:v>
                </c:pt>
              </c:numCache>
            </c:numRef>
          </c:xVal>
          <c:yVal>
            <c:numRef>
              <c:f>Sheet1!$P$341:$P$363</c:f>
              <c:numCache>
                <c:formatCode>General</c:formatCode>
                <c:ptCount val="23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8</c:v>
                </c:pt>
                <c:pt idx="12">
                  <c:v>4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2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48-0041-AEA1-74E8077A7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21375"/>
        <c:axId val="1061093903"/>
      </c:scatterChart>
      <c:valAx>
        <c:axId val="1131021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093903"/>
        <c:crosses val="autoZero"/>
        <c:crossBetween val="midCat"/>
      </c:valAx>
      <c:valAx>
        <c:axId val="106109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021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  <a:r>
              <a:rPr lang="en-US" baseline="0"/>
              <a:t> vs </a:t>
            </a:r>
            <a:r>
              <a:rPr lang="en-US"/>
              <a:t>Voltage</a:t>
            </a:r>
            <a:r>
              <a:rPr lang="en-US" baseline="0"/>
              <a:t>  (Sensor 1)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4848188900653E-2"/>
          <c:y val="0.12144749502003627"/>
          <c:w val="0.87847451622772765"/>
          <c:h val="0.73456238314885314"/>
        </c:manualLayout>
      </c:layout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Sheet1!$M$341:$M$363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38</c:v>
                </c:pt>
                <c:pt idx="3">
                  <c:v>61</c:v>
                </c:pt>
                <c:pt idx="4">
                  <c:v>81</c:v>
                </c:pt>
                <c:pt idx="5">
                  <c:v>98</c:v>
                </c:pt>
                <c:pt idx="6">
                  <c:v>112</c:v>
                </c:pt>
                <c:pt idx="7">
                  <c:v>129</c:v>
                </c:pt>
                <c:pt idx="8">
                  <c:v>146</c:v>
                </c:pt>
                <c:pt idx="9">
                  <c:v>165</c:v>
                </c:pt>
                <c:pt idx="10">
                  <c:v>182</c:v>
                </c:pt>
                <c:pt idx="11">
                  <c:v>199</c:v>
                </c:pt>
                <c:pt idx="12">
                  <c:v>223</c:v>
                </c:pt>
                <c:pt idx="13">
                  <c:v>239</c:v>
                </c:pt>
                <c:pt idx="14">
                  <c:v>253</c:v>
                </c:pt>
                <c:pt idx="15">
                  <c:v>273</c:v>
                </c:pt>
                <c:pt idx="16">
                  <c:v>288</c:v>
                </c:pt>
                <c:pt idx="17">
                  <c:v>304</c:v>
                </c:pt>
                <c:pt idx="18">
                  <c:v>320</c:v>
                </c:pt>
                <c:pt idx="19">
                  <c:v>336</c:v>
                </c:pt>
                <c:pt idx="20">
                  <c:v>351</c:v>
                </c:pt>
                <c:pt idx="21">
                  <c:v>491</c:v>
                </c:pt>
                <c:pt idx="22">
                  <c:v>565</c:v>
                </c:pt>
              </c:numCache>
            </c:numRef>
          </c:xVal>
          <c:yVal>
            <c:numRef>
              <c:f>Sheet1!$O$341:$O$363</c:f>
              <c:numCache>
                <c:formatCode>General</c:formatCode>
                <c:ptCount val="23"/>
                <c:pt idx="0">
                  <c:v>2.1299999999999999E-2</c:v>
                </c:pt>
                <c:pt idx="1">
                  <c:v>2.5899999999999999E-2</c:v>
                </c:pt>
                <c:pt idx="2">
                  <c:v>0.03</c:v>
                </c:pt>
                <c:pt idx="3">
                  <c:v>3.2300000000000002E-2</c:v>
                </c:pt>
                <c:pt idx="4">
                  <c:v>3.3799999999999997E-2</c:v>
                </c:pt>
                <c:pt idx="5">
                  <c:v>3.5700000000000003E-2</c:v>
                </c:pt>
                <c:pt idx="6">
                  <c:v>3.6499999999999998E-2</c:v>
                </c:pt>
                <c:pt idx="7">
                  <c:v>3.6999999999999998E-2</c:v>
                </c:pt>
                <c:pt idx="8">
                  <c:v>3.7999999999999999E-2</c:v>
                </c:pt>
                <c:pt idx="9">
                  <c:v>3.9399999999999998E-2</c:v>
                </c:pt>
                <c:pt idx="10">
                  <c:v>3.9600000000000003E-2</c:v>
                </c:pt>
                <c:pt idx="11">
                  <c:v>3.9399999999999998E-2</c:v>
                </c:pt>
                <c:pt idx="12">
                  <c:v>0.04</c:v>
                </c:pt>
                <c:pt idx="13">
                  <c:v>4.0599999999999997E-2</c:v>
                </c:pt>
                <c:pt idx="14">
                  <c:v>0.04</c:v>
                </c:pt>
                <c:pt idx="15">
                  <c:v>4.02E-2</c:v>
                </c:pt>
                <c:pt idx="16">
                  <c:v>4.0599999999999997E-2</c:v>
                </c:pt>
                <c:pt idx="17">
                  <c:v>4.0300000000000002E-2</c:v>
                </c:pt>
                <c:pt idx="18">
                  <c:v>4.1000000000000002E-2</c:v>
                </c:pt>
                <c:pt idx="19">
                  <c:v>4.0599999999999997E-2</c:v>
                </c:pt>
                <c:pt idx="20">
                  <c:v>3.9199999999999999E-2</c:v>
                </c:pt>
                <c:pt idx="21">
                  <c:v>4.1300000000000003E-2</c:v>
                </c:pt>
                <c:pt idx="22">
                  <c:v>4.2900000000000001E-2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39-CC47-BBDB-64043B85F066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Sheet1!$B$341:$B$362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</c:numCache>
            </c:numRef>
          </c:xVal>
          <c:yVal>
            <c:numRef>
              <c:f>Sheet1!$D$341:$D$362</c:f>
              <c:numCache>
                <c:formatCode>General</c:formatCode>
                <c:ptCount val="22"/>
                <c:pt idx="0">
                  <c:v>1.9400000000000001E-2</c:v>
                </c:pt>
                <c:pt idx="1">
                  <c:v>2.5000000000000001E-2</c:v>
                </c:pt>
                <c:pt idx="2">
                  <c:v>2.9000000000000001E-2</c:v>
                </c:pt>
                <c:pt idx="3">
                  <c:v>3.1699999999999999E-2</c:v>
                </c:pt>
                <c:pt idx="4">
                  <c:v>3.4500000000000003E-2</c:v>
                </c:pt>
                <c:pt idx="5">
                  <c:v>3.6499999999999998E-2</c:v>
                </c:pt>
                <c:pt idx="6">
                  <c:v>3.8100000000000002E-2</c:v>
                </c:pt>
                <c:pt idx="7">
                  <c:v>3.95E-2</c:v>
                </c:pt>
                <c:pt idx="8">
                  <c:v>4.1399999999999999E-2</c:v>
                </c:pt>
                <c:pt idx="9">
                  <c:v>4.2599999999999999E-2</c:v>
                </c:pt>
                <c:pt idx="10">
                  <c:v>4.2999999999999997E-2</c:v>
                </c:pt>
                <c:pt idx="11">
                  <c:v>4.36E-2</c:v>
                </c:pt>
                <c:pt idx="12">
                  <c:v>4.41E-2</c:v>
                </c:pt>
                <c:pt idx="13">
                  <c:v>4.4600000000000001E-2</c:v>
                </c:pt>
                <c:pt idx="14">
                  <c:v>4.5100000000000001E-2</c:v>
                </c:pt>
                <c:pt idx="15">
                  <c:v>4.5600000000000002E-2</c:v>
                </c:pt>
                <c:pt idx="16">
                  <c:v>4.6100000000000002E-2</c:v>
                </c:pt>
                <c:pt idx="17">
                  <c:v>4.6899999999999997E-2</c:v>
                </c:pt>
                <c:pt idx="18">
                  <c:v>4.7699999999999999E-2</c:v>
                </c:pt>
                <c:pt idx="19">
                  <c:v>4.8000000000000001E-2</c:v>
                </c:pt>
                <c:pt idx="20">
                  <c:v>4.7E-2</c:v>
                </c:pt>
                <c:pt idx="21">
                  <c:v>5.7099999999999998E-2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39-CC47-BBDB-64043B85F066}"/>
            </c:ext>
          </c:extLst>
        </c:ser>
        <c:ser>
          <c:idx val="2"/>
          <c:order val="2"/>
          <c:tx>
            <c:v>Test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Sheet1!$L$376:$L$398</c:f>
              <c:numCache>
                <c:formatCode>General</c:formatCode>
                <c:ptCount val="23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49</c:v>
                </c:pt>
                <c:pt idx="4">
                  <c:v>59</c:v>
                </c:pt>
                <c:pt idx="5">
                  <c:v>72</c:v>
                </c:pt>
                <c:pt idx="6">
                  <c:v>84</c:v>
                </c:pt>
                <c:pt idx="7">
                  <c:v>95</c:v>
                </c:pt>
                <c:pt idx="8">
                  <c:v>108</c:v>
                </c:pt>
                <c:pt idx="9">
                  <c:v>122</c:v>
                </c:pt>
                <c:pt idx="10">
                  <c:v>136</c:v>
                </c:pt>
                <c:pt idx="11">
                  <c:v>147</c:v>
                </c:pt>
                <c:pt idx="12">
                  <c:v>159</c:v>
                </c:pt>
                <c:pt idx="13">
                  <c:v>168</c:v>
                </c:pt>
                <c:pt idx="14">
                  <c:v>178</c:v>
                </c:pt>
                <c:pt idx="15">
                  <c:v>188</c:v>
                </c:pt>
                <c:pt idx="16">
                  <c:v>197</c:v>
                </c:pt>
                <c:pt idx="17">
                  <c:v>204</c:v>
                </c:pt>
                <c:pt idx="18">
                  <c:v>213</c:v>
                </c:pt>
                <c:pt idx="19">
                  <c:v>220</c:v>
                </c:pt>
                <c:pt idx="20">
                  <c:v>229</c:v>
                </c:pt>
                <c:pt idx="21">
                  <c:v>452</c:v>
                </c:pt>
                <c:pt idx="22">
                  <c:v>649</c:v>
                </c:pt>
              </c:numCache>
            </c:numRef>
          </c:xVal>
          <c:yVal>
            <c:numRef>
              <c:f>Sheet1!$M$376:$M$398</c:f>
              <c:numCache>
                <c:formatCode>General</c:formatCode>
                <c:ptCount val="23"/>
                <c:pt idx="0">
                  <c:v>2.1299999999999999E-2</c:v>
                </c:pt>
                <c:pt idx="1">
                  <c:v>2.7899999999999998E-2</c:v>
                </c:pt>
                <c:pt idx="2">
                  <c:v>3.1100000000000003E-2</c:v>
                </c:pt>
                <c:pt idx="3">
                  <c:v>3.2399999999999998E-2</c:v>
                </c:pt>
                <c:pt idx="4">
                  <c:v>3.3600000000000005E-2</c:v>
                </c:pt>
                <c:pt idx="5">
                  <c:v>3.5000000000000003E-2</c:v>
                </c:pt>
                <c:pt idx="6">
                  <c:v>3.6499999999999998E-2</c:v>
                </c:pt>
                <c:pt idx="7">
                  <c:v>3.78E-2</c:v>
                </c:pt>
                <c:pt idx="8">
                  <c:v>3.8799999999999994E-2</c:v>
                </c:pt>
                <c:pt idx="9">
                  <c:v>4.0399999999999998E-2</c:v>
                </c:pt>
                <c:pt idx="10">
                  <c:v>4.1299999999999996E-2</c:v>
                </c:pt>
                <c:pt idx="11">
                  <c:v>4.3299999999999998E-2</c:v>
                </c:pt>
                <c:pt idx="12">
                  <c:v>4.2799999999999998E-2</c:v>
                </c:pt>
                <c:pt idx="13">
                  <c:v>4.3299999999999998E-2</c:v>
                </c:pt>
                <c:pt idx="14">
                  <c:v>4.41E-2</c:v>
                </c:pt>
                <c:pt idx="15">
                  <c:v>4.4899999999999995E-2</c:v>
                </c:pt>
                <c:pt idx="16">
                  <c:v>4.5100000000000001E-2</c:v>
                </c:pt>
                <c:pt idx="17">
                  <c:v>4.58E-2</c:v>
                </c:pt>
                <c:pt idx="18">
                  <c:v>4.6200000000000005E-2</c:v>
                </c:pt>
                <c:pt idx="19">
                  <c:v>4.65E-2</c:v>
                </c:pt>
                <c:pt idx="20">
                  <c:v>4.7E-2</c:v>
                </c:pt>
                <c:pt idx="21">
                  <c:v>5.1999999999999998E-2</c:v>
                </c:pt>
                <c:pt idx="22">
                  <c:v>5.4299999999999994E-2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39-CC47-BBDB-64043B85F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017167"/>
        <c:axId val="315242687"/>
      </c:scatterChart>
      <c:valAx>
        <c:axId val="275017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42687"/>
        <c:crosses val="autoZero"/>
        <c:crossBetween val="midCat"/>
      </c:valAx>
      <c:valAx>
        <c:axId val="31524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across the load</a:t>
                </a:r>
                <a:r>
                  <a:rPr lang="en-US" baseline="0"/>
                  <a:t> resistor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017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473047824922587"/>
          <c:y val="0.14706040009724394"/>
          <c:w val="0.10280591211293147"/>
          <c:h val="0.174903658291752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 vs</a:t>
            </a:r>
            <a:r>
              <a:rPr lang="en-US" baseline="0"/>
              <a:t> </a:t>
            </a:r>
            <a:r>
              <a:rPr lang="en-US"/>
              <a:t>Response</a:t>
            </a:r>
            <a:r>
              <a:rPr lang="en-US" baseline="0"/>
              <a:t> (sensor 1)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9580323941407239E-2"/>
          <c:y val="8.5038767638968824E-2"/>
          <c:w val="0.93075555673474264"/>
          <c:h val="0.78840440673633316"/>
        </c:manualLayout>
      </c:layout>
      <c:scatterChart>
        <c:scatterStyle val="smoothMarker"/>
        <c:varyColors val="0"/>
        <c:ser>
          <c:idx val="3"/>
          <c:order val="0"/>
          <c:tx>
            <c:v>Test 1_22.8ºC</c:v>
          </c:tx>
          <c:xVal>
            <c:numRef>
              <c:f>Sheet1!$B$341:$B$363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  <c:pt idx="22">
                  <c:v>675</c:v>
                </c:pt>
              </c:numCache>
            </c:numRef>
          </c:xVal>
          <c:yVal>
            <c:numRef>
              <c:f>Sheet1!$I$341:$I$363</c:f>
              <c:numCache>
                <c:formatCode>General</c:formatCode>
                <c:ptCount val="23"/>
                <c:pt idx="1">
                  <c:v>0.77512751745438202</c:v>
                </c:pt>
                <c:pt idx="2">
                  <c:v>0.66767612012922062</c:v>
                </c:pt>
                <c:pt idx="3">
                  <c:v>0.61047604663199384</c:v>
                </c:pt>
                <c:pt idx="4">
                  <c:v>0.56061403946103461</c:v>
                </c:pt>
                <c:pt idx="5">
                  <c:v>0.52968203109861978</c:v>
                </c:pt>
                <c:pt idx="6">
                  <c:v>0.50727459196994129</c:v>
                </c:pt>
                <c:pt idx="7">
                  <c:v>0.48915718469975983</c:v>
                </c:pt>
                <c:pt idx="8">
                  <c:v>0.4665291806920227</c:v>
                </c:pt>
                <c:pt idx="9">
                  <c:v>0.45327779213300695</c:v>
                </c:pt>
                <c:pt idx="10">
                  <c:v>0.44902502092104374</c:v>
                </c:pt>
                <c:pt idx="11">
                  <c:v>0.44279217503929041</c:v>
                </c:pt>
                <c:pt idx="12">
                  <c:v>0.43772769331375372</c:v>
                </c:pt>
                <c:pt idx="13">
                  <c:v>0.43277676499013507</c:v>
                </c:pt>
                <c:pt idx="14">
                  <c:v>0.42793561334774954</c:v>
                </c:pt>
                <c:pt idx="15">
                  <c:v>0.42320062731155667</c:v>
                </c:pt>
                <c:pt idx="16">
                  <c:v>0.41856835246920748</c:v>
                </c:pt>
                <c:pt idx="17">
                  <c:v>0.41136215262916925</c:v>
                </c:pt>
                <c:pt idx="18">
                  <c:v>0.40439767018418465</c:v>
                </c:pt>
                <c:pt idx="19">
                  <c:v>0.40184584028832698</c:v>
                </c:pt>
                <c:pt idx="20">
                  <c:v>0.41047862653176032</c:v>
                </c:pt>
                <c:pt idx="21">
                  <c:v>0.33718309639486971</c:v>
                </c:pt>
                <c:pt idx="22">
                  <c:v>0.32619922185010664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73F-0442-BD53-724F9C0C0291}"/>
            </c:ext>
          </c:extLst>
        </c:ser>
        <c:ser>
          <c:idx val="4"/>
          <c:order val="1"/>
          <c:tx>
            <c:v>Test 2_22.5ºC</c:v>
          </c:tx>
          <c:xVal>
            <c:numRef>
              <c:f>Sheet1!$M$342:$M$363</c:f>
              <c:numCache>
                <c:formatCode>General</c:formatCode>
                <c:ptCount val="22"/>
                <c:pt idx="0">
                  <c:v>20</c:v>
                </c:pt>
                <c:pt idx="1">
                  <c:v>38</c:v>
                </c:pt>
                <c:pt idx="2">
                  <c:v>61</c:v>
                </c:pt>
                <c:pt idx="3">
                  <c:v>81</c:v>
                </c:pt>
                <c:pt idx="4">
                  <c:v>98</c:v>
                </c:pt>
                <c:pt idx="5">
                  <c:v>112</c:v>
                </c:pt>
                <c:pt idx="6">
                  <c:v>129</c:v>
                </c:pt>
                <c:pt idx="7">
                  <c:v>146</c:v>
                </c:pt>
                <c:pt idx="8">
                  <c:v>165</c:v>
                </c:pt>
                <c:pt idx="9">
                  <c:v>182</c:v>
                </c:pt>
                <c:pt idx="10">
                  <c:v>199</c:v>
                </c:pt>
                <c:pt idx="11">
                  <c:v>223</c:v>
                </c:pt>
                <c:pt idx="12">
                  <c:v>239</c:v>
                </c:pt>
                <c:pt idx="13">
                  <c:v>253</c:v>
                </c:pt>
                <c:pt idx="14">
                  <c:v>273</c:v>
                </c:pt>
                <c:pt idx="15">
                  <c:v>288</c:v>
                </c:pt>
                <c:pt idx="16">
                  <c:v>304</c:v>
                </c:pt>
                <c:pt idx="17">
                  <c:v>320</c:v>
                </c:pt>
                <c:pt idx="18">
                  <c:v>336</c:v>
                </c:pt>
                <c:pt idx="19">
                  <c:v>351</c:v>
                </c:pt>
                <c:pt idx="20">
                  <c:v>491</c:v>
                </c:pt>
                <c:pt idx="21">
                  <c:v>565</c:v>
                </c:pt>
              </c:numCache>
            </c:numRef>
          </c:xVal>
          <c:yVal>
            <c:numRef>
              <c:f>Sheet1!$U$342:$U$364</c:f>
              <c:numCache>
                <c:formatCode>General</c:formatCode>
                <c:ptCount val="23"/>
                <c:pt idx="0">
                  <c:v>0.82163382416997655</c:v>
                </c:pt>
                <c:pt idx="1">
                  <c:v>0.70875917753048723</c:v>
                </c:pt>
                <c:pt idx="2">
                  <c:v>0.65798561640148023</c:v>
                </c:pt>
                <c:pt idx="3">
                  <c:v>0.62859520926480283</c:v>
                </c:pt>
                <c:pt idx="4">
                  <c:v>0.59491286965737222</c:v>
                </c:pt>
                <c:pt idx="5">
                  <c:v>0.58177991417092789</c:v>
                </c:pt>
                <c:pt idx="6">
                  <c:v>0.57386020959548778</c:v>
                </c:pt>
                <c:pt idx="7">
                  <c:v>0.55864604027951037</c:v>
                </c:pt>
                <c:pt idx="8">
                  <c:v>0.53864365523972291</c:v>
                </c:pt>
                <c:pt idx="9">
                  <c:v>0.53590162554451382</c:v>
                </c:pt>
                <c:pt idx="10">
                  <c:v>0.53864365523972291</c:v>
                </c:pt>
                <c:pt idx="11">
                  <c:v>0.53049982704495213</c:v>
                </c:pt>
                <c:pt idx="12">
                  <c:v>0.52259670313180029</c:v>
                </c:pt>
                <c:pt idx="13">
                  <c:v>0.53049982704495213</c:v>
                </c:pt>
                <c:pt idx="14">
                  <c:v>0.5278392397242726</c:v>
                </c:pt>
                <c:pt idx="15">
                  <c:v>0.52259670313180029</c:v>
                </c:pt>
                <c:pt idx="16">
                  <c:v>0.5265188489944066</c:v>
                </c:pt>
                <c:pt idx="17">
                  <c:v>0.51745645993625444</c:v>
                </c:pt>
                <c:pt idx="18">
                  <c:v>0.52259670313180029</c:v>
                </c:pt>
                <c:pt idx="19">
                  <c:v>0.54141366482978082</c:v>
                </c:pt>
                <c:pt idx="20">
                  <c:v>0.51366661961411464</c:v>
                </c:pt>
                <c:pt idx="21">
                  <c:v>0.49434932939403942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73F-0442-BD53-724F9C0C0291}"/>
            </c:ext>
          </c:extLst>
        </c:ser>
        <c:ser>
          <c:idx val="6"/>
          <c:order val="2"/>
          <c:tx>
            <c:v>Test 3_22.8ºC</c:v>
          </c:tx>
          <c:xVal>
            <c:numRef>
              <c:f>Sheet1!$L$376:$L$398</c:f>
              <c:numCache>
                <c:formatCode>General</c:formatCode>
                <c:ptCount val="23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49</c:v>
                </c:pt>
                <c:pt idx="4">
                  <c:v>59</c:v>
                </c:pt>
                <c:pt idx="5">
                  <c:v>72</c:v>
                </c:pt>
                <c:pt idx="6">
                  <c:v>84</c:v>
                </c:pt>
                <c:pt idx="7">
                  <c:v>95</c:v>
                </c:pt>
                <c:pt idx="8">
                  <c:v>108</c:v>
                </c:pt>
                <c:pt idx="9">
                  <c:v>122</c:v>
                </c:pt>
                <c:pt idx="10">
                  <c:v>136</c:v>
                </c:pt>
                <c:pt idx="11">
                  <c:v>147</c:v>
                </c:pt>
                <c:pt idx="12">
                  <c:v>159</c:v>
                </c:pt>
                <c:pt idx="13">
                  <c:v>168</c:v>
                </c:pt>
                <c:pt idx="14">
                  <c:v>178</c:v>
                </c:pt>
                <c:pt idx="15">
                  <c:v>188</c:v>
                </c:pt>
                <c:pt idx="16">
                  <c:v>197</c:v>
                </c:pt>
                <c:pt idx="17">
                  <c:v>204</c:v>
                </c:pt>
                <c:pt idx="18">
                  <c:v>213</c:v>
                </c:pt>
                <c:pt idx="19">
                  <c:v>220</c:v>
                </c:pt>
                <c:pt idx="20">
                  <c:v>229</c:v>
                </c:pt>
                <c:pt idx="21">
                  <c:v>452</c:v>
                </c:pt>
                <c:pt idx="22">
                  <c:v>649</c:v>
                </c:pt>
              </c:numCache>
            </c:numRef>
          </c:xVal>
          <c:yVal>
            <c:numRef>
              <c:f>Sheet1!$Q$376:$Q$398</c:f>
              <c:numCache>
                <c:formatCode>General</c:formatCode>
                <c:ptCount val="23"/>
                <c:pt idx="1">
                  <c:v>0.76242985275539565</c:v>
                </c:pt>
                <c:pt idx="2">
                  <c:v>0.68354027499453596</c:v>
                </c:pt>
                <c:pt idx="3">
                  <c:v>0.65594261888548544</c:v>
                </c:pt>
                <c:pt idx="4">
                  <c:v>0.63236330281429087</c:v>
                </c:pt>
                <c:pt idx="5">
                  <c:v>0.60689764145740099</c:v>
                </c:pt>
                <c:pt idx="6">
                  <c:v>0.58178082477663284</c:v>
                </c:pt>
                <c:pt idx="7">
                  <c:v>0.56162535460070773</c:v>
                </c:pt>
                <c:pt idx="8">
                  <c:v>0.54704021063914432</c:v>
                </c:pt>
                <c:pt idx="9">
                  <c:v>0.52520581690658574</c:v>
                </c:pt>
                <c:pt idx="10">
                  <c:v>0.51366742360844808</c:v>
                </c:pt>
                <c:pt idx="11">
                  <c:v>0.48974383678551942</c:v>
                </c:pt>
                <c:pt idx="12">
                  <c:v>0.49551512262539649</c:v>
                </c:pt>
                <c:pt idx="13">
                  <c:v>0.48974383678551942</c:v>
                </c:pt>
                <c:pt idx="14">
                  <c:v>0.48078198521375559</c:v>
                </c:pt>
                <c:pt idx="15">
                  <c:v>0.47213948692740004</c:v>
                </c:pt>
                <c:pt idx="16">
                  <c:v>0.47002676977424979</c:v>
                </c:pt>
                <c:pt idx="17">
                  <c:v>0.46277756670399772</c:v>
                </c:pt>
                <c:pt idx="18">
                  <c:v>0.45873379356276861</c:v>
                </c:pt>
                <c:pt idx="19">
                  <c:v>0.45574661921005433</c:v>
                </c:pt>
                <c:pt idx="20">
                  <c:v>0.45085273782369251</c:v>
                </c:pt>
                <c:pt idx="21">
                  <c:v>0.40709014465718774</c:v>
                </c:pt>
                <c:pt idx="22">
                  <c:v>0.38966570148481516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73F-0442-BD53-724F9C0C0291}"/>
            </c:ext>
          </c:extLst>
        </c:ser>
        <c:ser>
          <c:idx val="7"/>
          <c:order val="3"/>
          <c:tx>
            <c:v>Datasheet values</c:v>
          </c:tx>
          <c:xVal>
            <c:numRef>
              <c:f>Sheet1!$Y$387:$Y$452</c:f>
              <c:numCache>
                <c:formatCode>General</c:formatCode>
                <c:ptCount val="66"/>
                <c:pt idx="0">
                  <c:v>17</c:v>
                </c:pt>
                <c:pt idx="1">
                  <c:v>20</c:v>
                </c:pt>
                <c:pt idx="2">
                  <c:v>20</c:v>
                </c:pt>
                <c:pt idx="3">
                  <c:v>35</c:v>
                </c:pt>
                <c:pt idx="4">
                  <c:v>37</c:v>
                </c:pt>
                <c:pt idx="5">
                  <c:v>38</c:v>
                </c:pt>
                <c:pt idx="6">
                  <c:v>49</c:v>
                </c:pt>
                <c:pt idx="7">
                  <c:v>52</c:v>
                </c:pt>
                <c:pt idx="8">
                  <c:v>59</c:v>
                </c:pt>
                <c:pt idx="9">
                  <c:v>61</c:v>
                </c:pt>
                <c:pt idx="10">
                  <c:v>72</c:v>
                </c:pt>
                <c:pt idx="11">
                  <c:v>74</c:v>
                </c:pt>
                <c:pt idx="12">
                  <c:v>81</c:v>
                </c:pt>
                <c:pt idx="13">
                  <c:v>84</c:v>
                </c:pt>
                <c:pt idx="14">
                  <c:v>90</c:v>
                </c:pt>
                <c:pt idx="15">
                  <c:v>95</c:v>
                </c:pt>
                <c:pt idx="16">
                  <c:v>98</c:v>
                </c:pt>
                <c:pt idx="17">
                  <c:v>106</c:v>
                </c:pt>
                <c:pt idx="18">
                  <c:v>108</c:v>
                </c:pt>
                <c:pt idx="19">
                  <c:v>112</c:v>
                </c:pt>
                <c:pt idx="20">
                  <c:v>122</c:v>
                </c:pt>
                <c:pt idx="21">
                  <c:v>124</c:v>
                </c:pt>
                <c:pt idx="22">
                  <c:v>129</c:v>
                </c:pt>
                <c:pt idx="23">
                  <c:v>136</c:v>
                </c:pt>
                <c:pt idx="24">
                  <c:v>146</c:v>
                </c:pt>
                <c:pt idx="25">
                  <c:v>147</c:v>
                </c:pt>
                <c:pt idx="26">
                  <c:v>148</c:v>
                </c:pt>
                <c:pt idx="27">
                  <c:v>159</c:v>
                </c:pt>
                <c:pt idx="28">
                  <c:v>165</c:v>
                </c:pt>
                <c:pt idx="29">
                  <c:v>168</c:v>
                </c:pt>
                <c:pt idx="30">
                  <c:v>170</c:v>
                </c:pt>
                <c:pt idx="31">
                  <c:v>178</c:v>
                </c:pt>
                <c:pt idx="32">
                  <c:v>182</c:v>
                </c:pt>
                <c:pt idx="33">
                  <c:v>183</c:v>
                </c:pt>
                <c:pt idx="34">
                  <c:v>188</c:v>
                </c:pt>
                <c:pt idx="35">
                  <c:v>195</c:v>
                </c:pt>
                <c:pt idx="36">
                  <c:v>197</c:v>
                </c:pt>
                <c:pt idx="37">
                  <c:v>199</c:v>
                </c:pt>
                <c:pt idx="38">
                  <c:v>204</c:v>
                </c:pt>
                <c:pt idx="39">
                  <c:v>208</c:v>
                </c:pt>
                <c:pt idx="40">
                  <c:v>213</c:v>
                </c:pt>
                <c:pt idx="41">
                  <c:v>220</c:v>
                </c:pt>
                <c:pt idx="42">
                  <c:v>222</c:v>
                </c:pt>
                <c:pt idx="43">
                  <c:v>223</c:v>
                </c:pt>
                <c:pt idx="44">
                  <c:v>229</c:v>
                </c:pt>
                <c:pt idx="45">
                  <c:v>238</c:v>
                </c:pt>
                <c:pt idx="46">
                  <c:v>239</c:v>
                </c:pt>
                <c:pt idx="47">
                  <c:v>252</c:v>
                </c:pt>
                <c:pt idx="48">
                  <c:v>253</c:v>
                </c:pt>
                <c:pt idx="49">
                  <c:v>265</c:v>
                </c:pt>
                <c:pt idx="50">
                  <c:v>273</c:v>
                </c:pt>
                <c:pt idx="51">
                  <c:v>282</c:v>
                </c:pt>
                <c:pt idx="52">
                  <c:v>288</c:v>
                </c:pt>
                <c:pt idx="53">
                  <c:v>300</c:v>
                </c:pt>
                <c:pt idx="54">
                  <c:v>304</c:v>
                </c:pt>
                <c:pt idx="55">
                  <c:v>316</c:v>
                </c:pt>
                <c:pt idx="56">
                  <c:v>320</c:v>
                </c:pt>
                <c:pt idx="57">
                  <c:v>332</c:v>
                </c:pt>
                <c:pt idx="58">
                  <c:v>336</c:v>
                </c:pt>
                <c:pt idx="59">
                  <c:v>351</c:v>
                </c:pt>
                <c:pt idx="60">
                  <c:v>452</c:v>
                </c:pt>
                <c:pt idx="61">
                  <c:v>491</c:v>
                </c:pt>
                <c:pt idx="62">
                  <c:v>493</c:v>
                </c:pt>
                <c:pt idx="63">
                  <c:v>565</c:v>
                </c:pt>
                <c:pt idx="64">
                  <c:v>649</c:v>
                </c:pt>
                <c:pt idx="65">
                  <c:v>675</c:v>
                </c:pt>
              </c:numCache>
            </c:numRef>
          </c:xVal>
          <c:yVal>
            <c:numRef>
              <c:f>Sheet1!$Z$387:$Z$452</c:f>
              <c:numCache>
                <c:formatCode>General</c:formatCode>
                <c:ptCount val="66"/>
                <c:pt idx="0">
                  <c:v>0.32340848221590535</c:v>
                </c:pt>
                <c:pt idx="1">
                  <c:v>0.28204742665113969</c:v>
                </c:pt>
                <c:pt idx="2">
                  <c:v>0.28204742665113969</c:v>
                </c:pt>
                <c:pt idx="3">
                  <c:v>0.17606948935046565</c:v>
                </c:pt>
                <c:pt idx="4">
                  <c:v>0.1680209927257145</c:v>
                </c:pt>
                <c:pt idx="5">
                  <c:v>0.16429018159576436</c:v>
                </c:pt>
                <c:pt idx="6">
                  <c:v>0.13263077233704865</c:v>
                </c:pt>
                <c:pt idx="7">
                  <c:v>0.12615793818946788</c:v>
                </c:pt>
                <c:pt idx="8">
                  <c:v>0.11343106357053409</c:v>
                </c:pt>
                <c:pt idx="9">
                  <c:v>0.11029140695555881</c:v>
                </c:pt>
                <c:pt idx="10">
                  <c:v>9.5921383925821918E-2</c:v>
                </c:pt>
                <c:pt idx="11">
                  <c:v>9.3733814280078112E-2</c:v>
                </c:pt>
                <c:pt idx="12">
                  <c:v>8.686503762678878E-2</c:v>
                </c:pt>
                <c:pt idx="13">
                  <c:v>8.4245408237728567E-2</c:v>
                </c:pt>
                <c:pt idx="14">
                  <c:v>7.949086173515986E-2</c:v>
                </c:pt>
                <c:pt idx="15">
                  <c:v>7.5953208117866738E-2</c:v>
                </c:pt>
                <c:pt idx="16">
                  <c:v>7.3990684023387585E-2</c:v>
                </c:pt>
                <c:pt idx="17">
                  <c:v>6.9259899886633336E-2</c:v>
                </c:pt>
                <c:pt idx="18">
                  <c:v>6.8178367162795891E-2</c:v>
                </c:pt>
                <c:pt idx="19">
                  <c:v>6.6122280396505029E-2</c:v>
                </c:pt>
                <c:pt idx="20">
                  <c:v>6.1528229827430989E-2</c:v>
                </c:pt>
                <c:pt idx="21">
                  <c:v>6.0691565376524703E-2</c:v>
                </c:pt>
                <c:pt idx="22">
                  <c:v>5.8704698503003305E-2</c:v>
                </c:pt>
                <c:pt idx="23">
                  <c:v>5.6149984040472632E-2</c:v>
                </c:pt>
                <c:pt idx="24">
                  <c:v>5.2893742109799746E-2</c:v>
                </c:pt>
                <c:pt idx="25">
                  <c:v>5.2590609262622906E-2</c:v>
                </c:pt>
                <c:pt idx="26">
                  <c:v>5.2291251211894256E-2</c:v>
                </c:pt>
                <c:pt idx="27">
                  <c:v>4.9228093787523082E-2</c:v>
                </c:pt>
                <c:pt idx="28">
                  <c:v>4.7716427074423688E-2</c:v>
                </c:pt>
                <c:pt idx="29">
                  <c:v>4.6997957348076595E-2</c:v>
                </c:pt>
                <c:pt idx="30">
                  <c:v>4.6531966440812547E-2</c:v>
                </c:pt>
                <c:pt idx="31">
                  <c:v>4.4764708012818739E-2</c:v>
                </c:pt>
                <c:pt idx="32">
                  <c:v>4.393486429718526E-2</c:v>
                </c:pt>
                <c:pt idx="33">
                  <c:v>4.3732628454312979E-2</c:v>
                </c:pt>
                <c:pt idx="34">
                  <c:v>4.2751217650985468E-2</c:v>
                </c:pt>
                <c:pt idx="35">
                  <c:v>4.1455318411484809E-2</c:v>
                </c:pt>
                <c:pt idx="36">
                  <c:v>4.1100663755743054E-2</c:v>
                </c:pt>
                <c:pt idx="37">
                  <c:v>4.0752579908705455E-2</c:v>
                </c:pt>
                <c:pt idx="38">
                  <c:v>3.9909914467632333E-2</c:v>
                </c:pt>
                <c:pt idx="39">
                  <c:v>3.9262691710251228E-2</c:v>
                </c:pt>
                <c:pt idx="40">
                  <c:v>3.8485202132614769E-2</c:v>
                </c:pt>
                <c:pt idx="41">
                  <c:v>3.7451524498891706E-2</c:v>
                </c:pt>
                <c:pt idx="42">
                  <c:v>3.7167229856519948E-2</c:v>
                </c:pt>
                <c:pt idx="43">
                  <c:v>3.7026844595187368E-2</c:v>
                </c:pt>
                <c:pt idx="44">
                  <c:v>3.6208282237394043E-2</c:v>
                </c:pt>
                <c:pt idx="45">
                  <c:v>3.5051902917274357E-2</c:v>
                </c:pt>
                <c:pt idx="46">
                  <c:v>3.4928373738935065E-2</c:v>
                </c:pt>
                <c:pt idx="47">
                  <c:v>3.3404897436180636E-2</c:v>
                </c:pt>
                <c:pt idx="48">
                  <c:v>3.3293689057584154E-2</c:v>
                </c:pt>
                <c:pt idx="49">
                  <c:v>3.201963464411739E-2</c:v>
                </c:pt>
                <c:pt idx="50">
                  <c:v>3.1227732406545781E-2</c:v>
                </c:pt>
                <c:pt idx="51">
                  <c:v>3.0386427868049643E-2</c:v>
                </c:pt>
                <c:pt idx="52">
                  <c:v>2.9852514867864298E-2</c:v>
                </c:pt>
                <c:pt idx="53">
                  <c:v>2.8843854858190889E-2</c:v>
                </c:pt>
                <c:pt idx="54">
                  <c:v>2.8523961435402447E-2</c:v>
                </c:pt>
                <c:pt idx="55">
                  <c:v>2.7609139712355353E-2</c:v>
                </c:pt>
                <c:pt idx="56">
                  <c:v>2.7318265169050952E-2</c:v>
                </c:pt>
                <c:pt idx="57">
                  <c:v>2.6484460556888734E-2</c:v>
                </c:pt>
                <c:pt idx="58">
                  <c:v>2.621873454110028E-2</c:v>
                </c:pt>
                <c:pt idx="59">
                  <c:v>2.5272069424450122E-2</c:v>
                </c:pt>
                <c:pt idx="60">
                  <c:v>2.0425036245810949E-2</c:v>
                </c:pt>
                <c:pt idx="61">
                  <c:v>1.905016675620487E-2</c:v>
                </c:pt>
                <c:pt idx="62">
                  <c:v>1.8985073899564421E-2</c:v>
                </c:pt>
                <c:pt idx="63">
                  <c:v>1.6926400200886954E-2</c:v>
                </c:pt>
                <c:pt idx="64">
                  <c:v>1.5061886246179775E-2</c:v>
                </c:pt>
                <c:pt idx="65">
                  <c:v>1.4571881178690804E-2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73F-0442-BD53-724F9C0C0291}"/>
            </c:ext>
          </c:extLst>
        </c:ser>
        <c:ser>
          <c:idx val="0"/>
          <c:order val="4"/>
          <c:tx>
            <c:v>Test 1_22.8ºC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Sheet1!$B$341:$B$363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  <c:pt idx="22">
                  <c:v>675</c:v>
                </c:pt>
              </c:numCache>
            </c:numRef>
          </c:xVal>
          <c:yVal>
            <c:numRef>
              <c:f>Sheet1!$I$341:$I$363</c:f>
              <c:numCache>
                <c:formatCode>General</c:formatCode>
                <c:ptCount val="23"/>
                <c:pt idx="1">
                  <c:v>0.77512751745438202</c:v>
                </c:pt>
                <c:pt idx="2">
                  <c:v>0.66767612012922062</c:v>
                </c:pt>
                <c:pt idx="3">
                  <c:v>0.61047604663199384</c:v>
                </c:pt>
                <c:pt idx="4">
                  <c:v>0.56061403946103461</c:v>
                </c:pt>
                <c:pt idx="5">
                  <c:v>0.52968203109861978</c:v>
                </c:pt>
                <c:pt idx="6">
                  <c:v>0.50727459196994129</c:v>
                </c:pt>
                <c:pt idx="7">
                  <c:v>0.48915718469975983</c:v>
                </c:pt>
                <c:pt idx="8">
                  <c:v>0.4665291806920227</c:v>
                </c:pt>
                <c:pt idx="9">
                  <c:v>0.45327779213300695</c:v>
                </c:pt>
                <c:pt idx="10">
                  <c:v>0.44902502092104374</c:v>
                </c:pt>
                <c:pt idx="11">
                  <c:v>0.44279217503929041</c:v>
                </c:pt>
                <c:pt idx="12">
                  <c:v>0.43772769331375372</c:v>
                </c:pt>
                <c:pt idx="13">
                  <c:v>0.43277676499013507</c:v>
                </c:pt>
                <c:pt idx="14">
                  <c:v>0.42793561334774954</c:v>
                </c:pt>
                <c:pt idx="15">
                  <c:v>0.42320062731155667</c:v>
                </c:pt>
                <c:pt idx="16">
                  <c:v>0.41856835246920748</c:v>
                </c:pt>
                <c:pt idx="17">
                  <c:v>0.41136215262916925</c:v>
                </c:pt>
                <c:pt idx="18">
                  <c:v>0.40439767018418465</c:v>
                </c:pt>
                <c:pt idx="19">
                  <c:v>0.40184584028832698</c:v>
                </c:pt>
                <c:pt idx="20">
                  <c:v>0.41047862653176032</c:v>
                </c:pt>
                <c:pt idx="21">
                  <c:v>0.33718309639486971</c:v>
                </c:pt>
                <c:pt idx="22">
                  <c:v>0.32619922185010664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3F-0442-BD53-724F9C0C0291}"/>
            </c:ext>
          </c:extLst>
        </c:ser>
        <c:ser>
          <c:idx val="1"/>
          <c:order val="5"/>
          <c:tx>
            <c:v>Test 2_22.5ºC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Sheet1!$M$342:$M$363</c:f>
              <c:numCache>
                <c:formatCode>General</c:formatCode>
                <c:ptCount val="22"/>
                <c:pt idx="0">
                  <c:v>20</c:v>
                </c:pt>
                <c:pt idx="1">
                  <c:v>38</c:v>
                </c:pt>
                <c:pt idx="2">
                  <c:v>61</c:v>
                </c:pt>
                <c:pt idx="3">
                  <c:v>81</c:v>
                </c:pt>
                <c:pt idx="4">
                  <c:v>98</c:v>
                </c:pt>
                <c:pt idx="5">
                  <c:v>112</c:v>
                </c:pt>
                <c:pt idx="6">
                  <c:v>129</c:v>
                </c:pt>
                <c:pt idx="7">
                  <c:v>146</c:v>
                </c:pt>
                <c:pt idx="8">
                  <c:v>165</c:v>
                </c:pt>
                <c:pt idx="9">
                  <c:v>182</c:v>
                </c:pt>
                <c:pt idx="10">
                  <c:v>199</c:v>
                </c:pt>
                <c:pt idx="11">
                  <c:v>223</c:v>
                </c:pt>
                <c:pt idx="12">
                  <c:v>239</c:v>
                </c:pt>
                <c:pt idx="13">
                  <c:v>253</c:v>
                </c:pt>
                <c:pt idx="14">
                  <c:v>273</c:v>
                </c:pt>
                <c:pt idx="15">
                  <c:v>288</c:v>
                </c:pt>
                <c:pt idx="16">
                  <c:v>304</c:v>
                </c:pt>
                <c:pt idx="17">
                  <c:v>320</c:v>
                </c:pt>
                <c:pt idx="18">
                  <c:v>336</c:v>
                </c:pt>
                <c:pt idx="19">
                  <c:v>351</c:v>
                </c:pt>
                <c:pt idx="20">
                  <c:v>491</c:v>
                </c:pt>
                <c:pt idx="21">
                  <c:v>565</c:v>
                </c:pt>
              </c:numCache>
            </c:numRef>
          </c:xVal>
          <c:yVal>
            <c:numRef>
              <c:f>Sheet1!$U$342:$U$364</c:f>
              <c:numCache>
                <c:formatCode>General</c:formatCode>
                <c:ptCount val="23"/>
                <c:pt idx="0">
                  <c:v>0.82163382416997655</c:v>
                </c:pt>
                <c:pt idx="1">
                  <c:v>0.70875917753048723</c:v>
                </c:pt>
                <c:pt idx="2">
                  <c:v>0.65798561640148023</c:v>
                </c:pt>
                <c:pt idx="3">
                  <c:v>0.62859520926480283</c:v>
                </c:pt>
                <c:pt idx="4">
                  <c:v>0.59491286965737222</c:v>
                </c:pt>
                <c:pt idx="5">
                  <c:v>0.58177991417092789</c:v>
                </c:pt>
                <c:pt idx="6">
                  <c:v>0.57386020959548778</c:v>
                </c:pt>
                <c:pt idx="7">
                  <c:v>0.55864604027951037</c:v>
                </c:pt>
                <c:pt idx="8">
                  <c:v>0.53864365523972291</c:v>
                </c:pt>
                <c:pt idx="9">
                  <c:v>0.53590162554451382</c:v>
                </c:pt>
                <c:pt idx="10">
                  <c:v>0.53864365523972291</c:v>
                </c:pt>
                <c:pt idx="11">
                  <c:v>0.53049982704495213</c:v>
                </c:pt>
                <c:pt idx="12">
                  <c:v>0.52259670313180029</c:v>
                </c:pt>
                <c:pt idx="13">
                  <c:v>0.53049982704495213</c:v>
                </c:pt>
                <c:pt idx="14">
                  <c:v>0.5278392397242726</c:v>
                </c:pt>
                <c:pt idx="15">
                  <c:v>0.52259670313180029</c:v>
                </c:pt>
                <c:pt idx="16">
                  <c:v>0.5265188489944066</c:v>
                </c:pt>
                <c:pt idx="17">
                  <c:v>0.51745645993625444</c:v>
                </c:pt>
                <c:pt idx="18">
                  <c:v>0.52259670313180029</c:v>
                </c:pt>
                <c:pt idx="19">
                  <c:v>0.54141366482978082</c:v>
                </c:pt>
                <c:pt idx="20">
                  <c:v>0.51366661961411464</c:v>
                </c:pt>
                <c:pt idx="21">
                  <c:v>0.49434932939403942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3F-0442-BD53-724F9C0C0291}"/>
            </c:ext>
          </c:extLst>
        </c:ser>
        <c:ser>
          <c:idx val="2"/>
          <c:order val="6"/>
          <c:tx>
            <c:v>Test 3_22.8ºC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Sheet1!$L$376:$L$398</c:f>
              <c:numCache>
                <c:formatCode>General</c:formatCode>
                <c:ptCount val="23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49</c:v>
                </c:pt>
                <c:pt idx="4">
                  <c:v>59</c:v>
                </c:pt>
                <c:pt idx="5">
                  <c:v>72</c:v>
                </c:pt>
                <c:pt idx="6">
                  <c:v>84</c:v>
                </c:pt>
                <c:pt idx="7">
                  <c:v>95</c:v>
                </c:pt>
                <c:pt idx="8">
                  <c:v>108</c:v>
                </c:pt>
                <c:pt idx="9">
                  <c:v>122</c:v>
                </c:pt>
                <c:pt idx="10">
                  <c:v>136</c:v>
                </c:pt>
                <c:pt idx="11">
                  <c:v>147</c:v>
                </c:pt>
                <c:pt idx="12">
                  <c:v>159</c:v>
                </c:pt>
                <c:pt idx="13">
                  <c:v>168</c:v>
                </c:pt>
                <c:pt idx="14">
                  <c:v>178</c:v>
                </c:pt>
                <c:pt idx="15">
                  <c:v>188</c:v>
                </c:pt>
                <c:pt idx="16">
                  <c:v>197</c:v>
                </c:pt>
                <c:pt idx="17">
                  <c:v>204</c:v>
                </c:pt>
                <c:pt idx="18">
                  <c:v>213</c:v>
                </c:pt>
                <c:pt idx="19">
                  <c:v>220</c:v>
                </c:pt>
                <c:pt idx="20">
                  <c:v>229</c:v>
                </c:pt>
                <c:pt idx="21">
                  <c:v>452</c:v>
                </c:pt>
                <c:pt idx="22">
                  <c:v>649</c:v>
                </c:pt>
              </c:numCache>
            </c:numRef>
          </c:xVal>
          <c:yVal>
            <c:numRef>
              <c:f>Sheet1!$Q$376:$Q$398</c:f>
              <c:numCache>
                <c:formatCode>General</c:formatCode>
                <c:ptCount val="23"/>
                <c:pt idx="1">
                  <c:v>0.76242985275539565</c:v>
                </c:pt>
                <c:pt idx="2">
                  <c:v>0.68354027499453596</c:v>
                </c:pt>
                <c:pt idx="3">
                  <c:v>0.65594261888548544</c:v>
                </c:pt>
                <c:pt idx="4">
                  <c:v>0.63236330281429087</c:v>
                </c:pt>
                <c:pt idx="5">
                  <c:v>0.60689764145740099</c:v>
                </c:pt>
                <c:pt idx="6">
                  <c:v>0.58178082477663284</c:v>
                </c:pt>
                <c:pt idx="7">
                  <c:v>0.56162535460070773</c:v>
                </c:pt>
                <c:pt idx="8">
                  <c:v>0.54704021063914432</c:v>
                </c:pt>
                <c:pt idx="9">
                  <c:v>0.52520581690658574</c:v>
                </c:pt>
                <c:pt idx="10">
                  <c:v>0.51366742360844808</c:v>
                </c:pt>
                <c:pt idx="11">
                  <c:v>0.48974383678551942</c:v>
                </c:pt>
                <c:pt idx="12">
                  <c:v>0.49551512262539649</c:v>
                </c:pt>
                <c:pt idx="13">
                  <c:v>0.48974383678551942</c:v>
                </c:pt>
                <c:pt idx="14">
                  <c:v>0.48078198521375559</c:v>
                </c:pt>
                <c:pt idx="15">
                  <c:v>0.47213948692740004</c:v>
                </c:pt>
                <c:pt idx="16">
                  <c:v>0.47002676977424979</c:v>
                </c:pt>
                <c:pt idx="17">
                  <c:v>0.46277756670399772</c:v>
                </c:pt>
                <c:pt idx="18">
                  <c:v>0.45873379356276861</c:v>
                </c:pt>
                <c:pt idx="19">
                  <c:v>0.45574661921005433</c:v>
                </c:pt>
                <c:pt idx="20">
                  <c:v>0.45085273782369251</c:v>
                </c:pt>
                <c:pt idx="21">
                  <c:v>0.40709014465718774</c:v>
                </c:pt>
                <c:pt idx="22">
                  <c:v>0.38966570148481516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3F-0442-BD53-724F9C0C0291}"/>
            </c:ext>
          </c:extLst>
        </c:ser>
        <c:ser>
          <c:idx val="5"/>
          <c:order val="7"/>
          <c:tx>
            <c:v>Datasheet values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Sheet1!$Y$387:$Y$452</c:f>
              <c:numCache>
                <c:formatCode>General</c:formatCode>
                <c:ptCount val="66"/>
                <c:pt idx="0">
                  <c:v>17</c:v>
                </c:pt>
                <c:pt idx="1">
                  <c:v>20</c:v>
                </c:pt>
                <c:pt idx="2">
                  <c:v>20</c:v>
                </c:pt>
                <c:pt idx="3">
                  <c:v>35</c:v>
                </c:pt>
                <c:pt idx="4">
                  <c:v>37</c:v>
                </c:pt>
                <c:pt idx="5">
                  <c:v>38</c:v>
                </c:pt>
                <c:pt idx="6">
                  <c:v>49</c:v>
                </c:pt>
                <c:pt idx="7">
                  <c:v>52</c:v>
                </c:pt>
                <c:pt idx="8">
                  <c:v>59</c:v>
                </c:pt>
                <c:pt idx="9">
                  <c:v>61</c:v>
                </c:pt>
                <c:pt idx="10">
                  <c:v>72</c:v>
                </c:pt>
                <c:pt idx="11">
                  <c:v>74</c:v>
                </c:pt>
                <c:pt idx="12">
                  <c:v>81</c:v>
                </c:pt>
                <c:pt idx="13">
                  <c:v>84</c:v>
                </c:pt>
                <c:pt idx="14">
                  <c:v>90</c:v>
                </c:pt>
                <c:pt idx="15">
                  <c:v>95</c:v>
                </c:pt>
                <c:pt idx="16">
                  <c:v>98</c:v>
                </c:pt>
                <c:pt idx="17">
                  <c:v>106</c:v>
                </c:pt>
                <c:pt idx="18">
                  <c:v>108</c:v>
                </c:pt>
                <c:pt idx="19">
                  <c:v>112</c:v>
                </c:pt>
                <c:pt idx="20">
                  <c:v>122</c:v>
                </c:pt>
                <c:pt idx="21">
                  <c:v>124</c:v>
                </c:pt>
                <c:pt idx="22">
                  <c:v>129</c:v>
                </c:pt>
                <c:pt idx="23">
                  <c:v>136</c:v>
                </c:pt>
                <c:pt idx="24">
                  <c:v>146</c:v>
                </c:pt>
                <c:pt idx="25">
                  <c:v>147</c:v>
                </c:pt>
                <c:pt idx="26">
                  <c:v>148</c:v>
                </c:pt>
                <c:pt idx="27">
                  <c:v>159</c:v>
                </c:pt>
                <c:pt idx="28">
                  <c:v>165</c:v>
                </c:pt>
                <c:pt idx="29">
                  <c:v>168</c:v>
                </c:pt>
                <c:pt idx="30">
                  <c:v>170</c:v>
                </c:pt>
                <c:pt idx="31">
                  <c:v>178</c:v>
                </c:pt>
                <c:pt idx="32">
                  <c:v>182</c:v>
                </c:pt>
                <c:pt idx="33">
                  <c:v>183</c:v>
                </c:pt>
                <c:pt idx="34">
                  <c:v>188</c:v>
                </c:pt>
                <c:pt idx="35">
                  <c:v>195</c:v>
                </c:pt>
                <c:pt idx="36">
                  <c:v>197</c:v>
                </c:pt>
                <c:pt idx="37">
                  <c:v>199</c:v>
                </c:pt>
                <c:pt idx="38">
                  <c:v>204</c:v>
                </c:pt>
                <c:pt idx="39">
                  <c:v>208</c:v>
                </c:pt>
                <c:pt idx="40">
                  <c:v>213</c:v>
                </c:pt>
                <c:pt idx="41">
                  <c:v>220</c:v>
                </c:pt>
                <c:pt idx="42">
                  <c:v>222</c:v>
                </c:pt>
                <c:pt idx="43">
                  <c:v>223</c:v>
                </c:pt>
                <c:pt idx="44">
                  <c:v>229</c:v>
                </c:pt>
                <c:pt idx="45">
                  <c:v>238</c:v>
                </c:pt>
                <c:pt idx="46">
                  <c:v>239</c:v>
                </c:pt>
                <c:pt idx="47">
                  <c:v>252</c:v>
                </c:pt>
                <c:pt idx="48">
                  <c:v>253</c:v>
                </c:pt>
                <c:pt idx="49">
                  <c:v>265</c:v>
                </c:pt>
                <c:pt idx="50">
                  <c:v>273</c:v>
                </c:pt>
                <c:pt idx="51">
                  <c:v>282</c:v>
                </c:pt>
                <c:pt idx="52">
                  <c:v>288</c:v>
                </c:pt>
                <c:pt idx="53">
                  <c:v>300</c:v>
                </c:pt>
                <c:pt idx="54">
                  <c:v>304</c:v>
                </c:pt>
                <c:pt idx="55">
                  <c:v>316</c:v>
                </c:pt>
                <c:pt idx="56">
                  <c:v>320</c:v>
                </c:pt>
                <c:pt idx="57">
                  <c:v>332</c:v>
                </c:pt>
                <c:pt idx="58">
                  <c:v>336</c:v>
                </c:pt>
                <c:pt idx="59">
                  <c:v>351</c:v>
                </c:pt>
                <c:pt idx="60">
                  <c:v>452</c:v>
                </c:pt>
                <c:pt idx="61">
                  <c:v>491</c:v>
                </c:pt>
                <c:pt idx="62">
                  <c:v>493</c:v>
                </c:pt>
                <c:pt idx="63">
                  <c:v>565</c:v>
                </c:pt>
                <c:pt idx="64">
                  <c:v>649</c:v>
                </c:pt>
                <c:pt idx="65">
                  <c:v>675</c:v>
                </c:pt>
              </c:numCache>
            </c:numRef>
          </c:xVal>
          <c:yVal>
            <c:numRef>
              <c:f>Sheet1!$Z$387:$Z$452</c:f>
              <c:numCache>
                <c:formatCode>General</c:formatCode>
                <c:ptCount val="66"/>
                <c:pt idx="0">
                  <c:v>0.32340848221590535</c:v>
                </c:pt>
                <c:pt idx="1">
                  <c:v>0.28204742665113969</c:v>
                </c:pt>
                <c:pt idx="2">
                  <c:v>0.28204742665113969</c:v>
                </c:pt>
                <c:pt idx="3">
                  <c:v>0.17606948935046565</c:v>
                </c:pt>
                <c:pt idx="4">
                  <c:v>0.1680209927257145</c:v>
                </c:pt>
                <c:pt idx="5">
                  <c:v>0.16429018159576436</c:v>
                </c:pt>
                <c:pt idx="6">
                  <c:v>0.13263077233704865</c:v>
                </c:pt>
                <c:pt idx="7">
                  <c:v>0.12615793818946788</c:v>
                </c:pt>
                <c:pt idx="8">
                  <c:v>0.11343106357053409</c:v>
                </c:pt>
                <c:pt idx="9">
                  <c:v>0.11029140695555881</c:v>
                </c:pt>
                <c:pt idx="10">
                  <c:v>9.5921383925821918E-2</c:v>
                </c:pt>
                <c:pt idx="11">
                  <c:v>9.3733814280078112E-2</c:v>
                </c:pt>
                <c:pt idx="12">
                  <c:v>8.686503762678878E-2</c:v>
                </c:pt>
                <c:pt idx="13">
                  <c:v>8.4245408237728567E-2</c:v>
                </c:pt>
                <c:pt idx="14">
                  <c:v>7.949086173515986E-2</c:v>
                </c:pt>
                <c:pt idx="15">
                  <c:v>7.5953208117866738E-2</c:v>
                </c:pt>
                <c:pt idx="16">
                  <c:v>7.3990684023387585E-2</c:v>
                </c:pt>
                <c:pt idx="17">
                  <c:v>6.9259899886633336E-2</c:v>
                </c:pt>
                <c:pt idx="18">
                  <c:v>6.8178367162795891E-2</c:v>
                </c:pt>
                <c:pt idx="19">
                  <c:v>6.6122280396505029E-2</c:v>
                </c:pt>
                <c:pt idx="20">
                  <c:v>6.1528229827430989E-2</c:v>
                </c:pt>
                <c:pt idx="21">
                  <c:v>6.0691565376524703E-2</c:v>
                </c:pt>
                <c:pt idx="22">
                  <c:v>5.8704698503003305E-2</c:v>
                </c:pt>
                <c:pt idx="23">
                  <c:v>5.6149984040472632E-2</c:v>
                </c:pt>
                <c:pt idx="24">
                  <c:v>5.2893742109799746E-2</c:v>
                </c:pt>
                <c:pt idx="25">
                  <c:v>5.2590609262622906E-2</c:v>
                </c:pt>
                <c:pt idx="26">
                  <c:v>5.2291251211894256E-2</c:v>
                </c:pt>
                <c:pt idx="27">
                  <c:v>4.9228093787523082E-2</c:v>
                </c:pt>
                <c:pt idx="28">
                  <c:v>4.7716427074423688E-2</c:v>
                </c:pt>
                <c:pt idx="29">
                  <c:v>4.6997957348076595E-2</c:v>
                </c:pt>
                <c:pt idx="30">
                  <c:v>4.6531966440812547E-2</c:v>
                </c:pt>
                <c:pt idx="31">
                  <c:v>4.4764708012818739E-2</c:v>
                </c:pt>
                <c:pt idx="32">
                  <c:v>4.393486429718526E-2</c:v>
                </c:pt>
                <c:pt idx="33">
                  <c:v>4.3732628454312979E-2</c:v>
                </c:pt>
                <c:pt idx="34">
                  <c:v>4.2751217650985468E-2</c:v>
                </c:pt>
                <c:pt idx="35">
                  <c:v>4.1455318411484809E-2</c:v>
                </c:pt>
                <c:pt idx="36">
                  <c:v>4.1100663755743054E-2</c:v>
                </c:pt>
                <c:pt idx="37">
                  <c:v>4.0752579908705455E-2</c:v>
                </c:pt>
                <c:pt idx="38">
                  <c:v>3.9909914467632333E-2</c:v>
                </c:pt>
                <c:pt idx="39">
                  <c:v>3.9262691710251228E-2</c:v>
                </c:pt>
                <c:pt idx="40">
                  <c:v>3.8485202132614769E-2</c:v>
                </c:pt>
                <c:pt idx="41">
                  <c:v>3.7451524498891706E-2</c:v>
                </c:pt>
                <c:pt idx="42">
                  <c:v>3.7167229856519948E-2</c:v>
                </c:pt>
                <c:pt idx="43">
                  <c:v>3.7026844595187368E-2</c:v>
                </c:pt>
                <c:pt idx="44">
                  <c:v>3.6208282237394043E-2</c:v>
                </c:pt>
                <c:pt idx="45">
                  <c:v>3.5051902917274357E-2</c:v>
                </c:pt>
                <c:pt idx="46">
                  <c:v>3.4928373738935065E-2</c:v>
                </c:pt>
                <c:pt idx="47">
                  <c:v>3.3404897436180636E-2</c:v>
                </c:pt>
                <c:pt idx="48">
                  <c:v>3.3293689057584154E-2</c:v>
                </c:pt>
                <c:pt idx="49">
                  <c:v>3.201963464411739E-2</c:v>
                </c:pt>
                <c:pt idx="50">
                  <c:v>3.1227732406545781E-2</c:v>
                </c:pt>
                <c:pt idx="51">
                  <c:v>3.0386427868049643E-2</c:v>
                </c:pt>
                <c:pt idx="52">
                  <c:v>2.9852514867864298E-2</c:v>
                </c:pt>
                <c:pt idx="53">
                  <c:v>2.8843854858190889E-2</c:v>
                </c:pt>
                <c:pt idx="54">
                  <c:v>2.8523961435402447E-2</c:v>
                </c:pt>
                <c:pt idx="55">
                  <c:v>2.7609139712355353E-2</c:v>
                </c:pt>
                <c:pt idx="56">
                  <c:v>2.7318265169050952E-2</c:v>
                </c:pt>
                <c:pt idx="57">
                  <c:v>2.6484460556888734E-2</c:v>
                </c:pt>
                <c:pt idx="58">
                  <c:v>2.621873454110028E-2</c:v>
                </c:pt>
                <c:pt idx="59">
                  <c:v>2.5272069424450122E-2</c:v>
                </c:pt>
                <c:pt idx="60">
                  <c:v>2.0425036245810949E-2</c:v>
                </c:pt>
                <c:pt idx="61">
                  <c:v>1.905016675620487E-2</c:v>
                </c:pt>
                <c:pt idx="62">
                  <c:v>1.8985073899564421E-2</c:v>
                </c:pt>
                <c:pt idx="63">
                  <c:v>1.6926400200886954E-2</c:v>
                </c:pt>
                <c:pt idx="64">
                  <c:v>1.5061886246179775E-2</c:v>
                </c:pt>
                <c:pt idx="65">
                  <c:v>1.4571881178690804E-2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73F-0442-BD53-724F9C0C0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375615"/>
        <c:axId val="1432501263"/>
      </c:scatterChart>
      <c:valAx>
        <c:axId val="1489375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501263"/>
        <c:crosses val="autoZero"/>
        <c:crossBetween val="midCat"/>
      </c:valAx>
      <c:valAx>
        <c:axId val="143250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37561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889123972063159"/>
          <c:y val="9.8422185535631146E-2"/>
          <c:w val="0.14522076246441903"/>
          <c:h val="0.14034520175842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Actual</a:t>
            </a:r>
            <a:r>
              <a:rPr lang="en-US" baseline="0"/>
              <a:t> and measured response (Sensor 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671827052790003E-2"/>
          <c:y val="0.12951054758339831"/>
          <c:w val="0.87349655946458515"/>
          <c:h val="0.715450494484568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Sheet1!$AH$342</c:f>
              <c:strCache>
                <c:ptCount val="1"/>
                <c:pt idx="0">
                  <c:v>Measured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Sheet1!$AG$343:$AG$364</c:f>
              <c:numCache>
                <c:formatCode>General</c:formatCode>
                <c:ptCount val="22"/>
                <c:pt idx="0">
                  <c:v>19</c:v>
                </c:pt>
                <c:pt idx="1">
                  <c:v>36.666666666666664</c:v>
                </c:pt>
                <c:pt idx="2">
                  <c:v>54</c:v>
                </c:pt>
                <c:pt idx="3">
                  <c:v>71.333333333333329</c:v>
                </c:pt>
                <c:pt idx="4">
                  <c:v>86.666666666666671</c:v>
                </c:pt>
                <c:pt idx="5">
                  <c:v>100.66666666666667</c:v>
                </c:pt>
                <c:pt idx="6">
                  <c:v>116</c:v>
                </c:pt>
                <c:pt idx="7">
                  <c:v>134</c:v>
                </c:pt>
                <c:pt idx="8">
                  <c:v>152.33333333333334</c:v>
                </c:pt>
                <c:pt idx="9">
                  <c:v>167</c:v>
                </c:pt>
                <c:pt idx="10">
                  <c:v>180.33333333333334</c:v>
                </c:pt>
                <c:pt idx="11">
                  <c:v>196.66666666666666</c:v>
                </c:pt>
                <c:pt idx="12">
                  <c:v>209.66666666666666</c:v>
                </c:pt>
                <c:pt idx="13">
                  <c:v>223</c:v>
                </c:pt>
                <c:pt idx="14">
                  <c:v>237.66666666666666</c:v>
                </c:pt>
                <c:pt idx="15">
                  <c:v>250</c:v>
                </c:pt>
                <c:pt idx="16">
                  <c:v>263.33333333333331</c:v>
                </c:pt>
                <c:pt idx="17">
                  <c:v>277.66666666666669</c:v>
                </c:pt>
                <c:pt idx="18">
                  <c:v>290.66666666666669</c:v>
                </c:pt>
                <c:pt idx="19">
                  <c:v>304</c:v>
                </c:pt>
                <c:pt idx="20">
                  <c:v>478.66666666666669</c:v>
                </c:pt>
                <c:pt idx="21">
                  <c:v>629.66666666666663</c:v>
                </c:pt>
              </c:numCache>
            </c:numRef>
          </c:xVal>
          <c:yVal>
            <c:numRef>
              <c:f>Sheet1!$AB$343:$AB$364</c:f>
              <c:numCache>
                <c:formatCode>General</c:formatCode>
                <c:ptCount val="22"/>
                <c:pt idx="0">
                  <c:v>0.78639706479325133</c:v>
                </c:pt>
                <c:pt idx="1">
                  <c:v>0.68665852421808127</c:v>
                </c:pt>
                <c:pt idx="2">
                  <c:v>0.64146809397298654</c:v>
                </c:pt>
                <c:pt idx="3">
                  <c:v>0.60719085051337618</c:v>
                </c:pt>
                <c:pt idx="4">
                  <c:v>0.57716418073779774</c:v>
                </c:pt>
                <c:pt idx="5">
                  <c:v>0.55694511030583405</c:v>
                </c:pt>
                <c:pt idx="6">
                  <c:v>0.54154758296531846</c:v>
                </c:pt>
                <c:pt idx="7">
                  <c:v>0.52407181053689245</c:v>
                </c:pt>
                <c:pt idx="8">
                  <c:v>0.50570908809310522</c:v>
                </c:pt>
                <c:pt idx="9">
                  <c:v>0.49953135669133514</c:v>
                </c:pt>
                <c:pt idx="10">
                  <c:v>0.49039322235484423</c:v>
                </c:pt>
                <c:pt idx="11">
                  <c:v>0.48791421432803411</c:v>
                </c:pt>
                <c:pt idx="12">
                  <c:v>0.48170576830248496</c:v>
                </c:pt>
                <c:pt idx="13">
                  <c:v>0.47973914186881911</c:v>
                </c:pt>
                <c:pt idx="14">
                  <c:v>0.47439311798774314</c:v>
                </c:pt>
                <c:pt idx="15">
                  <c:v>0.47039727512508583</c:v>
                </c:pt>
                <c:pt idx="16">
                  <c:v>0.46688618944252452</c:v>
                </c:pt>
                <c:pt idx="17">
                  <c:v>0.46019597456106925</c:v>
                </c:pt>
                <c:pt idx="18">
                  <c:v>0.46006305421006055</c:v>
                </c:pt>
                <c:pt idx="19">
                  <c:v>0.46758167639507792</c:v>
                </c:pt>
                <c:pt idx="20">
                  <c:v>0.41931328688872399</c:v>
                </c:pt>
                <c:pt idx="21">
                  <c:v>0.40340475090965372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68-6E4C-B02C-1DD26CAEAE4B}"/>
            </c:ext>
          </c:extLst>
        </c:ser>
        <c:ser>
          <c:idx val="2"/>
          <c:order val="1"/>
          <c:tx>
            <c:v>Difference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Sheet1!$AG$343:$AG$364</c:f>
              <c:numCache>
                <c:formatCode>General</c:formatCode>
                <c:ptCount val="22"/>
                <c:pt idx="0">
                  <c:v>19</c:v>
                </c:pt>
                <c:pt idx="1">
                  <c:v>36.666666666666664</c:v>
                </c:pt>
                <c:pt idx="2">
                  <c:v>54</c:v>
                </c:pt>
                <c:pt idx="3">
                  <c:v>71.333333333333329</c:v>
                </c:pt>
                <c:pt idx="4">
                  <c:v>86.666666666666671</c:v>
                </c:pt>
                <c:pt idx="5">
                  <c:v>100.66666666666667</c:v>
                </c:pt>
                <c:pt idx="6">
                  <c:v>116</c:v>
                </c:pt>
                <c:pt idx="7">
                  <c:v>134</c:v>
                </c:pt>
                <c:pt idx="8">
                  <c:v>152.33333333333334</c:v>
                </c:pt>
                <c:pt idx="9">
                  <c:v>167</c:v>
                </c:pt>
                <c:pt idx="10">
                  <c:v>180.33333333333334</c:v>
                </c:pt>
                <c:pt idx="11">
                  <c:v>196.66666666666666</c:v>
                </c:pt>
                <c:pt idx="12">
                  <c:v>209.66666666666666</c:v>
                </c:pt>
                <c:pt idx="13">
                  <c:v>223</c:v>
                </c:pt>
                <c:pt idx="14">
                  <c:v>237.66666666666666</c:v>
                </c:pt>
                <c:pt idx="15">
                  <c:v>250</c:v>
                </c:pt>
                <c:pt idx="16">
                  <c:v>263.33333333333331</c:v>
                </c:pt>
                <c:pt idx="17">
                  <c:v>277.66666666666669</c:v>
                </c:pt>
                <c:pt idx="18">
                  <c:v>290.66666666666669</c:v>
                </c:pt>
                <c:pt idx="19">
                  <c:v>304</c:v>
                </c:pt>
                <c:pt idx="20">
                  <c:v>478.66666666666669</c:v>
                </c:pt>
                <c:pt idx="21">
                  <c:v>629.66666666666663</c:v>
                </c:pt>
              </c:numCache>
            </c:numRef>
          </c:xVal>
          <c:yVal>
            <c:numRef>
              <c:f>Sheet1!$AJ$343:$AJ$364</c:f>
              <c:numCache>
                <c:formatCode>General</c:formatCode>
                <c:ptCount val="22"/>
                <c:pt idx="0">
                  <c:v>0.43639706479325135</c:v>
                </c:pt>
                <c:pt idx="1">
                  <c:v>0.52665852421808124</c:v>
                </c:pt>
                <c:pt idx="2">
                  <c:v>0.51146809397298654</c:v>
                </c:pt>
                <c:pt idx="3">
                  <c:v>0.5071908505133762</c:v>
                </c:pt>
                <c:pt idx="4">
                  <c:v>0.49716418073779772</c:v>
                </c:pt>
                <c:pt idx="5">
                  <c:v>0.48694511030583404</c:v>
                </c:pt>
                <c:pt idx="6">
                  <c:v>0.47654758296531846</c:v>
                </c:pt>
                <c:pt idx="7">
                  <c:v>0.47007181053689245</c:v>
                </c:pt>
                <c:pt idx="8">
                  <c:v>0.45570908809310523</c:v>
                </c:pt>
                <c:pt idx="9">
                  <c:v>0.45653135669133516</c:v>
                </c:pt>
                <c:pt idx="10">
                  <c:v>0.45039322235484425</c:v>
                </c:pt>
                <c:pt idx="11">
                  <c:v>0.44891421432803413</c:v>
                </c:pt>
                <c:pt idx="12">
                  <c:v>0.44470576830248498</c:v>
                </c:pt>
                <c:pt idx="13">
                  <c:v>0.44473914186881913</c:v>
                </c:pt>
                <c:pt idx="14">
                  <c:v>0.44039311798774317</c:v>
                </c:pt>
                <c:pt idx="15">
                  <c:v>0.43739727512508586</c:v>
                </c:pt>
                <c:pt idx="16">
                  <c:v>0.43688618944252455</c:v>
                </c:pt>
                <c:pt idx="17">
                  <c:v>0.43119597456106923</c:v>
                </c:pt>
                <c:pt idx="18">
                  <c:v>0.43206305421006053</c:v>
                </c:pt>
                <c:pt idx="19">
                  <c:v>0.4445816763950779</c:v>
                </c:pt>
                <c:pt idx="20">
                  <c:v>0.40131328688872397</c:v>
                </c:pt>
                <c:pt idx="21">
                  <c:v>0.39040475090965371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68-6E4C-B02C-1DD26CAEAE4B}"/>
            </c:ext>
          </c:extLst>
        </c:ser>
        <c:ser>
          <c:idx val="1"/>
          <c:order val="2"/>
          <c:tx>
            <c:v>Datasheet values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Sheet1!$AG$343:$AG$364</c:f>
              <c:numCache>
                <c:formatCode>General</c:formatCode>
                <c:ptCount val="22"/>
                <c:pt idx="0">
                  <c:v>19</c:v>
                </c:pt>
                <c:pt idx="1">
                  <c:v>36.666666666666664</c:v>
                </c:pt>
                <c:pt idx="2">
                  <c:v>54</c:v>
                </c:pt>
                <c:pt idx="3">
                  <c:v>71.333333333333329</c:v>
                </c:pt>
                <c:pt idx="4">
                  <c:v>86.666666666666671</c:v>
                </c:pt>
                <c:pt idx="5">
                  <c:v>100.66666666666667</c:v>
                </c:pt>
                <c:pt idx="6">
                  <c:v>116</c:v>
                </c:pt>
                <c:pt idx="7">
                  <c:v>134</c:v>
                </c:pt>
                <c:pt idx="8">
                  <c:v>152.33333333333334</c:v>
                </c:pt>
                <c:pt idx="9">
                  <c:v>167</c:v>
                </c:pt>
                <c:pt idx="10">
                  <c:v>180.33333333333334</c:v>
                </c:pt>
                <c:pt idx="11">
                  <c:v>196.66666666666666</c:v>
                </c:pt>
                <c:pt idx="12">
                  <c:v>209.66666666666666</c:v>
                </c:pt>
                <c:pt idx="13">
                  <c:v>223</c:v>
                </c:pt>
                <c:pt idx="14">
                  <c:v>237.66666666666666</c:v>
                </c:pt>
                <c:pt idx="15">
                  <c:v>250</c:v>
                </c:pt>
                <c:pt idx="16">
                  <c:v>263.33333333333331</c:v>
                </c:pt>
                <c:pt idx="17">
                  <c:v>277.66666666666669</c:v>
                </c:pt>
                <c:pt idx="18">
                  <c:v>290.66666666666669</c:v>
                </c:pt>
                <c:pt idx="19">
                  <c:v>304</c:v>
                </c:pt>
                <c:pt idx="20">
                  <c:v>478.66666666666669</c:v>
                </c:pt>
                <c:pt idx="21">
                  <c:v>629.66666666666663</c:v>
                </c:pt>
              </c:numCache>
            </c:numRef>
          </c:xVal>
          <c:yVal>
            <c:numRef>
              <c:f>Sheet1!$AF$343:$AF$364</c:f>
              <c:numCache>
                <c:formatCode>General</c:formatCode>
                <c:ptCount val="22"/>
                <c:pt idx="0">
                  <c:v>0.29449563766098791</c:v>
                </c:pt>
                <c:pt idx="1">
                  <c:v>0.16930619660618401</c:v>
                </c:pt>
                <c:pt idx="2">
                  <c:v>0.12221200023806032</c:v>
                </c:pt>
                <c:pt idx="3">
                  <c:v>9.6675649238680841E-2</c:v>
                </c:pt>
                <c:pt idx="4">
                  <c:v>8.2057434637165014E-2</c:v>
                </c:pt>
                <c:pt idx="5">
                  <c:v>7.233685925700295E-2</c:v>
                </c:pt>
                <c:pt idx="6">
                  <c:v>6.4197153379672314E-2</c:v>
                </c:pt>
                <c:pt idx="7">
                  <c:v>5.685480283337551E-2</c:v>
                </c:pt>
                <c:pt idx="8">
                  <c:v>5.1035932459516216E-2</c:v>
                </c:pt>
                <c:pt idx="9">
                  <c:v>4.7234805272599212E-2</c:v>
                </c:pt>
                <c:pt idx="10">
                  <c:v>4.4276511633847791E-2</c:v>
                </c:pt>
                <c:pt idx="11">
                  <c:v>4.1159311430530837E-2</c:v>
                </c:pt>
                <c:pt idx="12">
                  <c:v>3.899973454861512E-2</c:v>
                </c:pt>
                <c:pt idx="13">
                  <c:v>3.7026844595187368E-2</c:v>
                </c:pt>
                <c:pt idx="14">
                  <c:v>3.5093292025161781E-2</c:v>
                </c:pt>
                <c:pt idx="15">
                  <c:v>3.362977105284265E-2</c:v>
                </c:pt>
                <c:pt idx="16">
                  <c:v>3.2190185814528545E-2</c:v>
                </c:pt>
                <c:pt idx="17">
                  <c:v>3.0785230049001355E-2</c:v>
                </c:pt>
                <c:pt idx="18">
                  <c:v>2.9621743307712094E-2</c:v>
                </c:pt>
                <c:pt idx="19">
                  <c:v>2.8523961435402447E-2</c:v>
                </c:pt>
                <c:pt idx="20">
                  <c:v>1.9462626846717838E-2</c:v>
                </c:pt>
                <c:pt idx="21">
                  <c:v>1.5450345157202432E-2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C9-7349-BD65-B466C1D89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132032"/>
        <c:axId val="1370350704"/>
      </c:scatterChart>
      <c:valAx>
        <c:axId val="138413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350704"/>
        <c:crosses val="autoZero"/>
        <c:crossBetween val="midCat"/>
      </c:valAx>
      <c:valAx>
        <c:axId val="137035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</a:t>
                </a:r>
                <a:r>
                  <a:rPr lang="en-US" baseline="0"/>
                  <a:t> (Rs/R0)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132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794582801414417"/>
          <c:y val="0.14985611619596795"/>
          <c:w val="0.17433281202517104"/>
          <c:h val="0.180741506210141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Sheet1!$A$412:$A$432</c:f>
              <c:numCache>
                <c:formatCode>General</c:formatCode>
                <c:ptCount val="21"/>
                <c:pt idx="0">
                  <c:v>13</c:v>
                </c:pt>
                <c:pt idx="1">
                  <c:v>24</c:v>
                </c:pt>
                <c:pt idx="2">
                  <c:v>35</c:v>
                </c:pt>
                <c:pt idx="3">
                  <c:v>46</c:v>
                </c:pt>
                <c:pt idx="4">
                  <c:v>59</c:v>
                </c:pt>
                <c:pt idx="5">
                  <c:v>69</c:v>
                </c:pt>
                <c:pt idx="6">
                  <c:v>79</c:v>
                </c:pt>
                <c:pt idx="7">
                  <c:v>90</c:v>
                </c:pt>
                <c:pt idx="8">
                  <c:v>101</c:v>
                </c:pt>
                <c:pt idx="9">
                  <c:v>112</c:v>
                </c:pt>
                <c:pt idx="10">
                  <c:v>123</c:v>
                </c:pt>
                <c:pt idx="11">
                  <c:v>133</c:v>
                </c:pt>
                <c:pt idx="12">
                  <c:v>143</c:v>
                </c:pt>
                <c:pt idx="13">
                  <c:v>150</c:v>
                </c:pt>
                <c:pt idx="14">
                  <c:v>166</c:v>
                </c:pt>
                <c:pt idx="15">
                  <c:v>177</c:v>
                </c:pt>
                <c:pt idx="16">
                  <c:v>199</c:v>
                </c:pt>
                <c:pt idx="17">
                  <c:v>201</c:v>
                </c:pt>
                <c:pt idx="18">
                  <c:v>212</c:v>
                </c:pt>
                <c:pt idx="19">
                  <c:v>381</c:v>
                </c:pt>
                <c:pt idx="20">
                  <c:v>505</c:v>
                </c:pt>
              </c:numCache>
            </c:numRef>
          </c:xVal>
          <c:yVal>
            <c:numRef>
              <c:f>Sheet1!$F$412:$F$432</c:f>
              <c:numCache>
                <c:formatCode>General</c:formatCode>
                <c:ptCount val="21"/>
                <c:pt idx="0">
                  <c:v>0.88969549344059262</c:v>
                </c:pt>
                <c:pt idx="1">
                  <c:v>0.83689807941485661</c:v>
                </c:pt>
                <c:pt idx="2">
                  <c:v>0.78722863718361402</c:v>
                </c:pt>
                <c:pt idx="3">
                  <c:v>0.74555551382551277</c:v>
                </c:pt>
                <c:pt idx="4">
                  <c:v>0.71707008773263325</c:v>
                </c:pt>
                <c:pt idx="5">
                  <c:v>0.69279504572076067</c:v>
                </c:pt>
                <c:pt idx="6">
                  <c:v>0.67614177402306341</c:v>
                </c:pt>
                <c:pt idx="7">
                  <c:v>0.64883565732103687</c:v>
                </c:pt>
                <c:pt idx="8">
                  <c:v>0.6377923384938593</c:v>
                </c:pt>
                <c:pt idx="9">
                  <c:v>0.63063520150094377</c:v>
                </c:pt>
                <c:pt idx="10">
                  <c:v>0.62711611059722483</c:v>
                </c:pt>
                <c:pt idx="11">
                  <c:v>0.62190998298279454</c:v>
                </c:pt>
                <c:pt idx="12">
                  <c:v>0.61848664588113833</c:v>
                </c:pt>
                <c:pt idx="13">
                  <c:v>0.61342122025104517</c:v>
                </c:pt>
                <c:pt idx="14">
                  <c:v>0.61008978129217006</c:v>
                </c:pt>
                <c:pt idx="15">
                  <c:v>0.60191623756992951</c:v>
                </c:pt>
                <c:pt idx="16">
                  <c:v>0.59870736484934628</c:v>
                </c:pt>
                <c:pt idx="17">
                  <c:v>0.61175099882706863</c:v>
                </c:pt>
                <c:pt idx="18">
                  <c:v>0.6051594297848506</c:v>
                </c:pt>
                <c:pt idx="19">
                  <c:v>0.53838055770238058</c:v>
                </c:pt>
                <c:pt idx="20">
                  <c:v>0.53073349764149758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CF-6343-81A9-9C625646977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Sheet1!$H$412:$H$432</c:f>
              <c:numCache>
                <c:formatCode>General</c:formatCode>
                <c:ptCount val="21"/>
                <c:pt idx="0">
                  <c:v>15</c:v>
                </c:pt>
                <c:pt idx="1">
                  <c:v>25</c:v>
                </c:pt>
                <c:pt idx="2">
                  <c:v>30</c:v>
                </c:pt>
                <c:pt idx="3">
                  <c:v>43</c:v>
                </c:pt>
                <c:pt idx="4">
                  <c:v>56</c:v>
                </c:pt>
                <c:pt idx="5">
                  <c:v>64</c:v>
                </c:pt>
                <c:pt idx="6">
                  <c:v>73</c:v>
                </c:pt>
                <c:pt idx="7">
                  <c:v>82</c:v>
                </c:pt>
                <c:pt idx="8">
                  <c:v>90</c:v>
                </c:pt>
                <c:pt idx="9">
                  <c:v>98</c:v>
                </c:pt>
                <c:pt idx="10">
                  <c:v>107</c:v>
                </c:pt>
                <c:pt idx="11">
                  <c:v>115</c:v>
                </c:pt>
                <c:pt idx="12">
                  <c:v>122</c:v>
                </c:pt>
                <c:pt idx="13">
                  <c:v>128</c:v>
                </c:pt>
                <c:pt idx="14">
                  <c:v>134</c:v>
                </c:pt>
                <c:pt idx="15">
                  <c:v>141</c:v>
                </c:pt>
                <c:pt idx="16">
                  <c:v>147</c:v>
                </c:pt>
                <c:pt idx="17">
                  <c:v>153</c:v>
                </c:pt>
                <c:pt idx="18">
                  <c:v>160</c:v>
                </c:pt>
                <c:pt idx="19">
                  <c:v>166</c:v>
                </c:pt>
                <c:pt idx="20">
                  <c:v>248</c:v>
                </c:pt>
              </c:numCache>
            </c:numRef>
          </c:xVal>
          <c:yVal>
            <c:numRef>
              <c:f>Sheet1!$M$412:$M$432</c:f>
              <c:numCache>
                <c:formatCode>General</c:formatCode>
                <c:ptCount val="21"/>
                <c:pt idx="0">
                  <c:v>0.83950590865170138</c:v>
                </c:pt>
                <c:pt idx="1">
                  <c:v>0.75826815870997011</c:v>
                </c:pt>
                <c:pt idx="2">
                  <c:v>0.72068579768600538</c:v>
                </c:pt>
                <c:pt idx="3">
                  <c:v>0.65353155605715063</c:v>
                </c:pt>
                <c:pt idx="4">
                  <c:v>0.6085139548338665</c:v>
                </c:pt>
                <c:pt idx="5">
                  <c:v>0.57901048690566159</c:v>
                </c:pt>
                <c:pt idx="6">
                  <c:v>0.55524170839572684</c:v>
                </c:pt>
                <c:pt idx="7">
                  <c:v>0.53474165544701879</c:v>
                </c:pt>
                <c:pt idx="8">
                  <c:v>0.51832972038148295</c:v>
                </c:pt>
                <c:pt idx="9">
                  <c:v>0.49429464679277035</c:v>
                </c:pt>
                <c:pt idx="10">
                  <c:v>0.48251186840039439</c:v>
                </c:pt>
                <c:pt idx="11">
                  <c:v>0.47459000506728749</c:v>
                </c:pt>
                <c:pt idx="12">
                  <c:v>0.46477596871546922</c:v>
                </c:pt>
                <c:pt idx="13">
                  <c:v>0.45845381795699441</c:v>
                </c:pt>
                <c:pt idx="14">
                  <c:v>0.45129011246997641</c:v>
                </c:pt>
                <c:pt idx="15">
                  <c:v>0.44336999087563356</c:v>
                </c:pt>
                <c:pt idx="16">
                  <c:v>0.43760835735528547</c:v>
                </c:pt>
                <c:pt idx="17">
                  <c:v>0.43107119740619421</c:v>
                </c:pt>
                <c:pt idx="18">
                  <c:v>0.4229452789632514</c:v>
                </c:pt>
                <c:pt idx="19">
                  <c:v>0.40674930889300825</c:v>
                </c:pt>
                <c:pt idx="20">
                  <c:v>0.39097709437869926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CF-6343-81A9-9C6256469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624799"/>
        <c:axId val="1487268271"/>
      </c:scatterChart>
      <c:valAx>
        <c:axId val="1501624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268271"/>
        <c:crosses val="autoZero"/>
        <c:crossBetween val="midCat"/>
      </c:valAx>
      <c:valAx>
        <c:axId val="148726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624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Response</a:t>
            </a:r>
            <a:r>
              <a:rPr lang="en-US" baseline="0"/>
              <a:t>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Sheet1!$B$341:$B$363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  <c:pt idx="22">
                  <c:v>675</c:v>
                </c:pt>
              </c:numCache>
            </c:numRef>
          </c:xVal>
          <c:yVal>
            <c:numRef>
              <c:f>Sheet1!$E$341:$E$363</c:f>
              <c:numCache>
                <c:formatCode>General</c:formatCode>
                <c:ptCount val="23"/>
                <c:pt idx="0">
                  <c:v>0</c:v>
                </c:pt>
                <c:pt idx="1">
                  <c:v>45</c:v>
                </c:pt>
                <c:pt idx="2">
                  <c:v>60</c:v>
                </c:pt>
                <c:pt idx="3">
                  <c:v>25</c:v>
                </c:pt>
                <c:pt idx="4">
                  <c:v>40</c:v>
                </c:pt>
                <c:pt idx="5">
                  <c:v>20</c:v>
                </c:pt>
                <c:pt idx="6">
                  <c:v>20</c:v>
                </c:pt>
                <c:pt idx="7">
                  <c:v>22</c:v>
                </c:pt>
                <c:pt idx="8">
                  <c:v>30</c:v>
                </c:pt>
                <c:pt idx="9">
                  <c:v>25</c:v>
                </c:pt>
                <c:pt idx="10">
                  <c:v>20</c:v>
                </c:pt>
                <c:pt idx="11">
                  <c:v>15</c:v>
                </c:pt>
                <c:pt idx="12">
                  <c:v>11</c:v>
                </c:pt>
                <c:pt idx="13">
                  <c:v>20</c:v>
                </c:pt>
                <c:pt idx="14">
                  <c:v>25</c:v>
                </c:pt>
                <c:pt idx="15">
                  <c:v>21</c:v>
                </c:pt>
                <c:pt idx="16">
                  <c:v>15</c:v>
                </c:pt>
                <c:pt idx="17">
                  <c:v>20</c:v>
                </c:pt>
                <c:pt idx="18">
                  <c:v>11</c:v>
                </c:pt>
                <c:pt idx="19">
                  <c:v>7</c:v>
                </c:pt>
                <c:pt idx="20">
                  <c:v>14</c:v>
                </c:pt>
                <c:pt idx="21">
                  <c:v>15</c:v>
                </c:pt>
                <c:pt idx="22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25-6E40-A62F-01A33A4418E5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Sheet1!$M$341:$M$363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38</c:v>
                </c:pt>
                <c:pt idx="3">
                  <c:v>61</c:v>
                </c:pt>
                <c:pt idx="4">
                  <c:v>81</c:v>
                </c:pt>
                <c:pt idx="5">
                  <c:v>98</c:v>
                </c:pt>
                <c:pt idx="6">
                  <c:v>112</c:v>
                </c:pt>
                <c:pt idx="7">
                  <c:v>129</c:v>
                </c:pt>
                <c:pt idx="8">
                  <c:v>146</c:v>
                </c:pt>
                <c:pt idx="9">
                  <c:v>165</c:v>
                </c:pt>
                <c:pt idx="10">
                  <c:v>182</c:v>
                </c:pt>
                <c:pt idx="11">
                  <c:v>199</c:v>
                </c:pt>
                <c:pt idx="12">
                  <c:v>223</c:v>
                </c:pt>
                <c:pt idx="13">
                  <c:v>239</c:v>
                </c:pt>
                <c:pt idx="14">
                  <c:v>253</c:v>
                </c:pt>
                <c:pt idx="15">
                  <c:v>273</c:v>
                </c:pt>
                <c:pt idx="16">
                  <c:v>288</c:v>
                </c:pt>
                <c:pt idx="17">
                  <c:v>304</c:v>
                </c:pt>
                <c:pt idx="18">
                  <c:v>320</c:v>
                </c:pt>
                <c:pt idx="19">
                  <c:v>336</c:v>
                </c:pt>
                <c:pt idx="20">
                  <c:v>351</c:v>
                </c:pt>
                <c:pt idx="21">
                  <c:v>491</c:v>
                </c:pt>
                <c:pt idx="22">
                  <c:v>565</c:v>
                </c:pt>
              </c:numCache>
            </c:numRef>
          </c:xVal>
          <c:yVal>
            <c:numRef>
              <c:f>Sheet1!$P$341:$P$363</c:f>
              <c:numCache>
                <c:formatCode>General</c:formatCode>
                <c:ptCount val="23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8</c:v>
                </c:pt>
                <c:pt idx="12">
                  <c:v>4</c:v>
                </c:pt>
                <c:pt idx="13">
                  <c:v>8</c:v>
                </c:pt>
                <c:pt idx="14">
                  <c:v>8</c:v>
                </c:pt>
                <c:pt idx="15">
                  <c:v>5</c:v>
                </c:pt>
                <c:pt idx="16">
                  <c:v>2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25-6E40-A62F-01A33A4418E5}"/>
            </c:ext>
          </c:extLst>
        </c:ser>
        <c:ser>
          <c:idx val="2"/>
          <c:order val="2"/>
          <c:tx>
            <c:v>test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Sheet1!$L$376:$L$398</c:f>
              <c:numCache>
                <c:formatCode>General</c:formatCode>
                <c:ptCount val="23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49</c:v>
                </c:pt>
                <c:pt idx="4">
                  <c:v>59</c:v>
                </c:pt>
                <c:pt idx="5">
                  <c:v>72</c:v>
                </c:pt>
                <c:pt idx="6">
                  <c:v>84</c:v>
                </c:pt>
                <c:pt idx="7">
                  <c:v>95</c:v>
                </c:pt>
                <c:pt idx="8">
                  <c:v>108</c:v>
                </c:pt>
                <c:pt idx="9">
                  <c:v>122</c:v>
                </c:pt>
                <c:pt idx="10">
                  <c:v>136</c:v>
                </c:pt>
                <c:pt idx="11">
                  <c:v>147</c:v>
                </c:pt>
                <c:pt idx="12">
                  <c:v>159</c:v>
                </c:pt>
                <c:pt idx="13">
                  <c:v>168</c:v>
                </c:pt>
                <c:pt idx="14">
                  <c:v>178</c:v>
                </c:pt>
                <c:pt idx="15">
                  <c:v>188</c:v>
                </c:pt>
                <c:pt idx="16">
                  <c:v>197</c:v>
                </c:pt>
                <c:pt idx="17">
                  <c:v>204</c:v>
                </c:pt>
                <c:pt idx="18">
                  <c:v>213</c:v>
                </c:pt>
                <c:pt idx="19">
                  <c:v>220</c:v>
                </c:pt>
                <c:pt idx="20">
                  <c:v>229</c:v>
                </c:pt>
                <c:pt idx="21">
                  <c:v>452</c:v>
                </c:pt>
                <c:pt idx="22">
                  <c:v>649</c:v>
                </c:pt>
              </c:numCache>
            </c:numRef>
          </c:xVal>
          <c:yVal>
            <c:numRef>
              <c:f>Sheet1!$K$376:$K$398</c:f>
              <c:numCache>
                <c:formatCode>General</c:formatCode>
                <c:ptCount val="23"/>
                <c:pt idx="0">
                  <c:v>0</c:v>
                </c:pt>
                <c:pt idx="1">
                  <c:v>16</c:v>
                </c:pt>
                <c:pt idx="2">
                  <c:v>8</c:v>
                </c:pt>
                <c:pt idx="3">
                  <c:v>20</c:v>
                </c:pt>
                <c:pt idx="4">
                  <c:v>15</c:v>
                </c:pt>
                <c:pt idx="5">
                  <c:v>10</c:v>
                </c:pt>
                <c:pt idx="6">
                  <c:v>8</c:v>
                </c:pt>
                <c:pt idx="7">
                  <c:v>8</c:v>
                </c:pt>
                <c:pt idx="8">
                  <c:v>15</c:v>
                </c:pt>
                <c:pt idx="9">
                  <c:v>8</c:v>
                </c:pt>
                <c:pt idx="10">
                  <c:v>10</c:v>
                </c:pt>
                <c:pt idx="11">
                  <c:v>15</c:v>
                </c:pt>
                <c:pt idx="12">
                  <c:v>30</c:v>
                </c:pt>
                <c:pt idx="13">
                  <c:v>26</c:v>
                </c:pt>
                <c:pt idx="14">
                  <c:v>36</c:v>
                </c:pt>
                <c:pt idx="15">
                  <c:v>23</c:v>
                </c:pt>
                <c:pt idx="16">
                  <c:v>16</c:v>
                </c:pt>
                <c:pt idx="17">
                  <c:v>17</c:v>
                </c:pt>
                <c:pt idx="18">
                  <c:v>15</c:v>
                </c:pt>
                <c:pt idx="19">
                  <c:v>13</c:v>
                </c:pt>
                <c:pt idx="20">
                  <c:v>13</c:v>
                </c:pt>
                <c:pt idx="21">
                  <c:v>25</c:v>
                </c:pt>
                <c:pt idx="22">
                  <c:v>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25-6E40-A62F-01A33A441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978079"/>
        <c:axId val="1449419103"/>
      </c:scatterChart>
      <c:valAx>
        <c:axId val="1447978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419103"/>
        <c:crosses val="autoZero"/>
        <c:crossBetween val="midCat"/>
      </c:valAx>
      <c:valAx>
        <c:axId val="1449419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978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Sheet1!$B$343:$B$363</c:f>
              <c:numCache>
                <c:formatCode>General</c:formatCode>
                <c:ptCount val="21"/>
                <c:pt idx="0">
                  <c:v>37</c:v>
                </c:pt>
                <c:pt idx="1">
                  <c:v>52</c:v>
                </c:pt>
                <c:pt idx="2">
                  <c:v>74</c:v>
                </c:pt>
                <c:pt idx="3">
                  <c:v>90</c:v>
                </c:pt>
                <c:pt idx="4">
                  <c:v>106</c:v>
                </c:pt>
                <c:pt idx="5">
                  <c:v>124</c:v>
                </c:pt>
                <c:pt idx="6">
                  <c:v>148</c:v>
                </c:pt>
                <c:pt idx="7">
                  <c:v>170</c:v>
                </c:pt>
                <c:pt idx="8">
                  <c:v>183</c:v>
                </c:pt>
                <c:pt idx="9">
                  <c:v>195</c:v>
                </c:pt>
                <c:pt idx="10">
                  <c:v>208</c:v>
                </c:pt>
                <c:pt idx="11">
                  <c:v>222</c:v>
                </c:pt>
                <c:pt idx="12">
                  <c:v>238</c:v>
                </c:pt>
                <c:pt idx="13">
                  <c:v>252</c:v>
                </c:pt>
                <c:pt idx="14">
                  <c:v>265</c:v>
                </c:pt>
                <c:pt idx="15">
                  <c:v>282</c:v>
                </c:pt>
                <c:pt idx="16">
                  <c:v>300</c:v>
                </c:pt>
                <c:pt idx="17">
                  <c:v>316</c:v>
                </c:pt>
                <c:pt idx="18">
                  <c:v>332</c:v>
                </c:pt>
                <c:pt idx="19">
                  <c:v>493</c:v>
                </c:pt>
                <c:pt idx="20">
                  <c:v>675</c:v>
                </c:pt>
              </c:numCache>
            </c:numRef>
          </c:xVal>
          <c:yVal>
            <c:numRef>
              <c:f>Sheet1!$K$343:$K$364</c:f>
              <c:numCache>
                <c:formatCode>General</c:formatCode>
                <c:ptCount val="22"/>
                <c:pt idx="0">
                  <c:v>-13.862415525905408</c:v>
                </c:pt>
                <c:pt idx="1">
                  <c:v>-8.5670389838349159</c:v>
                </c:pt>
                <c:pt idx="2">
                  <c:v>-8.1677254080727213</c:v>
                </c:pt>
                <c:pt idx="3">
                  <c:v>-5.5175229632408733</c:v>
                </c:pt>
                <c:pt idx="4">
                  <c:v>-4.2303566693027044</c:v>
                </c:pt>
                <c:pt idx="5">
                  <c:v>-3.5715187704995515</c:v>
                </c:pt>
                <c:pt idx="6">
                  <c:v>-4.6259167227863545</c:v>
                </c:pt>
                <c:pt idx="7">
                  <c:v>-2.8404200867691491</c:v>
                </c:pt>
                <c:pt idx="8">
                  <c:v>-0.93822624575335634</c:v>
                </c:pt>
                <c:pt idx="9">
                  <c:v>-1.3880843140919987</c:v>
                </c:pt>
                <c:pt idx="10">
                  <c:v>-1.1437604391015508</c:v>
                </c:pt>
                <c:pt idx="11">
                  <c:v>-1.1310521128189015</c:v>
                </c:pt>
                <c:pt idx="12">
                  <c:v>-1.1186255903770326</c:v>
                </c:pt>
                <c:pt idx="13">
                  <c:v>-1.1064716019194991</c:v>
                </c:pt>
                <c:pt idx="14">
                  <c:v>-1.0945812797529104</c:v>
                </c:pt>
                <c:pt idx="15">
                  <c:v>-1.7216303615711999</c:v>
                </c:pt>
                <c:pt idx="16">
                  <c:v>-1.6930294633261684</c:v>
                </c:pt>
                <c:pt idx="17">
                  <c:v>-0.63101993013348201</c:v>
                </c:pt>
                <c:pt idx="18">
                  <c:v>2.1482830921527651</c:v>
                </c:pt>
                <c:pt idx="19">
                  <c:v>-17.85611366813016</c:v>
                </c:pt>
                <c:pt idx="20">
                  <c:v>-3.2575400908887895</c:v>
                </c:pt>
                <c:pt idx="21">
                  <c:v>-100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37-FE46-8B7D-8E44ECD50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294943"/>
        <c:axId val="1557306511"/>
      </c:scatterChart>
      <c:valAx>
        <c:axId val="155729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306511"/>
        <c:crosses val="autoZero"/>
        <c:crossBetween val="midCat"/>
      </c:valAx>
      <c:valAx>
        <c:axId val="1557306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7294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 vs</a:t>
            </a:r>
            <a:r>
              <a:rPr lang="en-US" baseline="0"/>
              <a:t> Response (sensor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7171296296296296"/>
          <c:w val="0.81143219597550298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Test 1_23.3ºC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Sheet1!$A$219:$A$236</c:f>
              <c:numCache>
                <c:formatCode>General</c:formatCode>
                <c:ptCount val="18"/>
                <c:pt idx="0">
                  <c:v>7</c:v>
                </c:pt>
                <c:pt idx="1">
                  <c:v>10</c:v>
                </c:pt>
                <c:pt idx="2">
                  <c:v>23</c:v>
                </c:pt>
                <c:pt idx="3">
                  <c:v>41</c:v>
                </c:pt>
                <c:pt idx="4">
                  <c:v>45</c:v>
                </c:pt>
                <c:pt idx="5">
                  <c:v>52</c:v>
                </c:pt>
                <c:pt idx="6">
                  <c:v>59</c:v>
                </c:pt>
                <c:pt idx="7">
                  <c:v>63</c:v>
                </c:pt>
                <c:pt idx="8">
                  <c:v>69</c:v>
                </c:pt>
                <c:pt idx="9">
                  <c:v>73</c:v>
                </c:pt>
                <c:pt idx="10">
                  <c:v>76</c:v>
                </c:pt>
                <c:pt idx="11">
                  <c:v>80</c:v>
                </c:pt>
                <c:pt idx="12">
                  <c:v>82</c:v>
                </c:pt>
                <c:pt idx="13">
                  <c:v>84</c:v>
                </c:pt>
                <c:pt idx="14">
                  <c:v>88</c:v>
                </c:pt>
                <c:pt idx="15">
                  <c:v>90</c:v>
                </c:pt>
                <c:pt idx="16">
                  <c:v>93</c:v>
                </c:pt>
                <c:pt idx="17">
                  <c:v>98</c:v>
                </c:pt>
              </c:numCache>
            </c:numRef>
          </c:xVal>
          <c:yVal>
            <c:numRef>
              <c:f>Sheet1!$P$219:$P$236</c:f>
              <c:numCache>
                <c:formatCode>General</c:formatCode>
                <c:ptCount val="18"/>
                <c:pt idx="0">
                  <c:v>0.87806540659789933</c:v>
                </c:pt>
                <c:pt idx="1">
                  <c:v>0.81062237968246298</c:v>
                </c:pt>
                <c:pt idx="2">
                  <c:v>0.6994849864306234</c:v>
                </c:pt>
                <c:pt idx="3">
                  <c:v>0.6056161711501975</c:v>
                </c:pt>
                <c:pt idx="4">
                  <c:v>0.58539751120102412</c:v>
                </c:pt>
                <c:pt idx="5">
                  <c:v>0.56043973072195019</c:v>
                </c:pt>
                <c:pt idx="6">
                  <c:v>0.53935153808926328</c:v>
                </c:pt>
                <c:pt idx="7">
                  <c:v>0.52150477219497382</c:v>
                </c:pt>
                <c:pt idx="8">
                  <c:v>0.50479474298184945</c:v>
                </c:pt>
                <c:pt idx="9">
                  <c:v>0.49527002633036832</c:v>
                </c:pt>
                <c:pt idx="10">
                  <c:v>0.48459962510714955</c:v>
                </c:pt>
                <c:pt idx="11">
                  <c:v>0.47581062023860388</c:v>
                </c:pt>
                <c:pt idx="12">
                  <c:v>0.46872481010050127</c:v>
                </c:pt>
                <c:pt idx="13">
                  <c:v>0.46049373530054244</c:v>
                </c:pt>
                <c:pt idx="14">
                  <c:v>0.45254486877943934</c:v>
                </c:pt>
                <c:pt idx="15">
                  <c:v>0.447395320600043</c:v>
                </c:pt>
                <c:pt idx="16">
                  <c:v>0.4423608461229796</c:v>
                </c:pt>
                <c:pt idx="17">
                  <c:v>0.43381603259273072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2D-B243-A69B-17D8EF09ECFA}"/>
            </c:ext>
          </c:extLst>
        </c:ser>
        <c:ser>
          <c:idx val="1"/>
          <c:order val="1"/>
          <c:tx>
            <c:v>Test 2_23.2ºC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Sheet1!$C$219:$C$236</c:f>
              <c:numCache>
                <c:formatCode>General</c:formatCode>
                <c:ptCount val="18"/>
                <c:pt idx="0">
                  <c:v>5</c:v>
                </c:pt>
                <c:pt idx="1">
                  <c:v>12</c:v>
                </c:pt>
                <c:pt idx="2">
                  <c:v>16</c:v>
                </c:pt>
                <c:pt idx="3">
                  <c:v>20</c:v>
                </c:pt>
                <c:pt idx="4">
                  <c:v>27</c:v>
                </c:pt>
                <c:pt idx="5">
                  <c:v>31</c:v>
                </c:pt>
                <c:pt idx="6">
                  <c:v>37</c:v>
                </c:pt>
                <c:pt idx="7">
                  <c:v>42</c:v>
                </c:pt>
                <c:pt idx="8">
                  <c:v>49</c:v>
                </c:pt>
                <c:pt idx="9">
                  <c:v>53</c:v>
                </c:pt>
                <c:pt idx="10">
                  <c:v>59</c:v>
                </c:pt>
                <c:pt idx="11">
                  <c:v>61</c:v>
                </c:pt>
                <c:pt idx="12">
                  <c:v>67</c:v>
                </c:pt>
                <c:pt idx="13">
                  <c:v>72</c:v>
                </c:pt>
                <c:pt idx="14">
                  <c:v>76</c:v>
                </c:pt>
                <c:pt idx="15">
                  <c:v>80</c:v>
                </c:pt>
                <c:pt idx="16">
                  <c:v>85</c:v>
                </c:pt>
                <c:pt idx="17">
                  <c:v>88</c:v>
                </c:pt>
              </c:numCache>
            </c:numRef>
          </c:xVal>
          <c:yVal>
            <c:numRef>
              <c:f>Sheet1!$Q$219:$Q$236</c:f>
              <c:numCache>
                <c:formatCode>General</c:formatCode>
                <c:ptCount val="18"/>
                <c:pt idx="0">
                  <c:v>0.84442808410130488</c:v>
                </c:pt>
                <c:pt idx="1">
                  <c:v>0.77000483620870619</c:v>
                </c:pt>
                <c:pt idx="2">
                  <c:v>0.72389807891336777</c:v>
                </c:pt>
                <c:pt idx="3">
                  <c:v>0.68596409130583202</c:v>
                </c:pt>
                <c:pt idx="4">
                  <c:v>0.6385338085549791</c:v>
                </c:pt>
                <c:pt idx="5">
                  <c:v>0.61117434312870045</c:v>
                </c:pt>
                <c:pt idx="6">
                  <c:v>0.57741915851186321</c:v>
                </c:pt>
                <c:pt idx="7">
                  <c:v>0.5452758131604668</c:v>
                </c:pt>
                <c:pt idx="8">
                  <c:v>0.52166721782683556</c:v>
                </c:pt>
                <c:pt idx="9">
                  <c:v>0.50322245877900706</c:v>
                </c:pt>
                <c:pt idx="10">
                  <c:v>0.48906863181909821</c:v>
                </c:pt>
                <c:pt idx="11">
                  <c:v>0.46855868812256335</c:v>
                </c:pt>
                <c:pt idx="12">
                  <c:v>0.45625272190464244</c:v>
                </c:pt>
                <c:pt idx="13">
                  <c:v>0.440809940768428</c:v>
                </c:pt>
                <c:pt idx="14">
                  <c:v>0.43107887320314225</c:v>
                </c:pt>
                <c:pt idx="15">
                  <c:v>0.42062903360178422</c:v>
                </c:pt>
                <c:pt idx="16">
                  <c:v>0.41284269934063816</c:v>
                </c:pt>
                <c:pt idx="17">
                  <c:v>0.40428716790128866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2D-B243-A69B-17D8EF09ECFA}"/>
            </c:ext>
          </c:extLst>
        </c:ser>
        <c:ser>
          <c:idx val="2"/>
          <c:order val="2"/>
          <c:tx>
            <c:v>Test 3_23.1ºC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Sheet1!$E$219:$E$236</c:f>
              <c:numCache>
                <c:formatCode>General</c:formatCode>
                <c:ptCount val="18"/>
                <c:pt idx="0">
                  <c:v>18</c:v>
                </c:pt>
                <c:pt idx="1">
                  <c:v>29</c:v>
                </c:pt>
                <c:pt idx="2">
                  <c:v>40</c:v>
                </c:pt>
                <c:pt idx="3">
                  <c:v>51</c:v>
                </c:pt>
                <c:pt idx="4">
                  <c:v>63</c:v>
                </c:pt>
                <c:pt idx="5">
                  <c:v>76</c:v>
                </c:pt>
                <c:pt idx="6">
                  <c:v>89</c:v>
                </c:pt>
                <c:pt idx="7">
                  <c:v>100</c:v>
                </c:pt>
                <c:pt idx="8">
                  <c:v>112</c:v>
                </c:pt>
                <c:pt idx="9">
                  <c:v>125</c:v>
                </c:pt>
                <c:pt idx="10">
                  <c:v>139</c:v>
                </c:pt>
                <c:pt idx="11">
                  <c:v>154</c:v>
                </c:pt>
                <c:pt idx="12">
                  <c:v>165</c:v>
                </c:pt>
                <c:pt idx="13">
                  <c:v>180</c:v>
                </c:pt>
                <c:pt idx="14">
                  <c:v>193</c:v>
                </c:pt>
                <c:pt idx="15">
                  <c:v>210</c:v>
                </c:pt>
                <c:pt idx="16">
                  <c:v>222</c:v>
                </c:pt>
                <c:pt idx="17">
                  <c:v>232</c:v>
                </c:pt>
              </c:numCache>
            </c:numRef>
          </c:xVal>
          <c:yVal>
            <c:numRef>
              <c:f>Sheet1!$R$219:$R$236</c:f>
              <c:numCache>
                <c:formatCode>General</c:formatCode>
                <c:ptCount val="18"/>
                <c:pt idx="0">
                  <c:v>0.74447547785141799</c:v>
                </c:pt>
                <c:pt idx="1">
                  <c:v>0.66001343451155525</c:v>
                </c:pt>
                <c:pt idx="2">
                  <c:v>0.60644861728234323</c:v>
                </c:pt>
                <c:pt idx="3">
                  <c:v>0.55493154960515334</c:v>
                </c:pt>
                <c:pt idx="4">
                  <c:v>0.51311938012773817</c:v>
                </c:pt>
                <c:pt idx="5">
                  <c:v>0.46715889968036667</c:v>
                </c:pt>
                <c:pt idx="6">
                  <c:v>0.43107887320314225</c:v>
                </c:pt>
                <c:pt idx="7">
                  <c:v>0.42176522408569717</c:v>
                </c:pt>
                <c:pt idx="8">
                  <c:v>0.40533731528479117</c:v>
                </c:pt>
                <c:pt idx="9">
                  <c:v>0.38915880707954259</c:v>
                </c:pt>
                <c:pt idx="10">
                  <c:v>0.37511362245028446</c:v>
                </c:pt>
                <c:pt idx="11">
                  <c:v>0.36288274265612208</c:v>
                </c:pt>
                <c:pt idx="12">
                  <c:v>0.35461970067973708</c:v>
                </c:pt>
                <c:pt idx="13">
                  <c:v>0.34290169682894639</c:v>
                </c:pt>
                <c:pt idx="14">
                  <c:v>0.33406582328698853</c:v>
                </c:pt>
                <c:pt idx="15">
                  <c:v>0.32498908224681994</c:v>
                </c:pt>
                <c:pt idx="16">
                  <c:v>0.32296340879531032</c:v>
                </c:pt>
                <c:pt idx="17">
                  <c:v>0.31833271106741728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2D-B243-A69B-17D8EF09ECFA}"/>
            </c:ext>
          </c:extLst>
        </c:ser>
        <c:ser>
          <c:idx val="3"/>
          <c:order val="3"/>
          <c:tx>
            <c:v>Datasheet values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Sheet1!$S$217:$S$270</c:f>
              <c:numCache>
                <c:formatCode>General</c:formatCode>
                <c:ptCount val="54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23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37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45</c:v>
                </c:pt>
                <c:pt idx="16">
                  <c:v>49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59</c:v>
                </c:pt>
                <c:pt idx="21">
                  <c:v>59</c:v>
                </c:pt>
                <c:pt idx="22">
                  <c:v>61</c:v>
                </c:pt>
                <c:pt idx="23">
                  <c:v>63</c:v>
                </c:pt>
                <c:pt idx="24">
                  <c:v>63</c:v>
                </c:pt>
                <c:pt idx="25">
                  <c:v>67</c:v>
                </c:pt>
                <c:pt idx="26">
                  <c:v>69</c:v>
                </c:pt>
                <c:pt idx="27">
                  <c:v>72</c:v>
                </c:pt>
                <c:pt idx="28">
                  <c:v>73</c:v>
                </c:pt>
                <c:pt idx="29">
                  <c:v>76</c:v>
                </c:pt>
                <c:pt idx="30">
                  <c:v>76</c:v>
                </c:pt>
                <c:pt idx="31">
                  <c:v>76</c:v>
                </c:pt>
                <c:pt idx="32">
                  <c:v>80</c:v>
                </c:pt>
                <c:pt idx="33">
                  <c:v>80</c:v>
                </c:pt>
                <c:pt idx="34">
                  <c:v>82</c:v>
                </c:pt>
                <c:pt idx="35">
                  <c:v>84</c:v>
                </c:pt>
                <c:pt idx="36">
                  <c:v>85</c:v>
                </c:pt>
                <c:pt idx="37">
                  <c:v>88</c:v>
                </c:pt>
                <c:pt idx="38">
                  <c:v>88</c:v>
                </c:pt>
                <c:pt idx="39">
                  <c:v>89</c:v>
                </c:pt>
                <c:pt idx="40">
                  <c:v>90</c:v>
                </c:pt>
                <c:pt idx="41">
                  <c:v>93</c:v>
                </c:pt>
                <c:pt idx="42">
                  <c:v>98</c:v>
                </c:pt>
                <c:pt idx="43">
                  <c:v>100</c:v>
                </c:pt>
                <c:pt idx="44">
                  <c:v>112</c:v>
                </c:pt>
                <c:pt idx="45">
                  <c:v>125</c:v>
                </c:pt>
                <c:pt idx="46">
                  <c:v>139</c:v>
                </c:pt>
                <c:pt idx="47">
                  <c:v>154</c:v>
                </c:pt>
                <c:pt idx="48">
                  <c:v>165</c:v>
                </c:pt>
                <c:pt idx="49">
                  <c:v>180</c:v>
                </c:pt>
                <c:pt idx="50">
                  <c:v>193</c:v>
                </c:pt>
                <c:pt idx="51">
                  <c:v>210</c:v>
                </c:pt>
                <c:pt idx="52">
                  <c:v>222</c:v>
                </c:pt>
                <c:pt idx="53">
                  <c:v>232</c:v>
                </c:pt>
              </c:numCache>
            </c:numRef>
          </c:xVal>
          <c:yVal>
            <c:numRef>
              <c:f>Sheet1!$T$217:$T$270</c:f>
              <c:numCache>
                <c:formatCode>General</c:formatCode>
                <c:ptCount val="54"/>
                <c:pt idx="0">
                  <c:v>0.90626801851852146</c:v>
                </c:pt>
                <c:pt idx="1">
                  <c:v>0.6826794789029148</c:v>
                </c:pt>
                <c:pt idx="2">
                  <c:v>0.50557943241332148</c:v>
                </c:pt>
                <c:pt idx="3">
                  <c:v>0.43362946910647271</c:v>
                </c:pt>
                <c:pt idx="4">
                  <c:v>0.34034578197467913</c:v>
                </c:pt>
                <c:pt idx="5">
                  <c:v>0.3082122874729577</c:v>
                </c:pt>
                <c:pt idx="6">
                  <c:v>0.28204742665113969</c:v>
                </c:pt>
                <c:pt idx="7">
                  <c:v>0.25073476842558717</c:v>
                </c:pt>
                <c:pt idx="8">
                  <c:v>0.21906909220228327</c:v>
                </c:pt>
                <c:pt idx="9">
                  <c:v>0.20627675167512508</c:v>
                </c:pt>
                <c:pt idx="10">
                  <c:v>0.19501268048299736</c:v>
                </c:pt>
                <c:pt idx="11">
                  <c:v>0.1680209927257145</c:v>
                </c:pt>
                <c:pt idx="12">
                  <c:v>0.1573457023376213</c:v>
                </c:pt>
                <c:pt idx="13">
                  <c:v>0.15410807324123257</c:v>
                </c:pt>
                <c:pt idx="14">
                  <c:v>0.15101270799021221</c:v>
                </c:pt>
                <c:pt idx="15">
                  <c:v>0.14249002458659923</c:v>
                </c:pt>
                <c:pt idx="16">
                  <c:v>0.13263077233704865</c:v>
                </c:pt>
                <c:pt idx="17">
                  <c:v>0.12823757881174289</c:v>
                </c:pt>
                <c:pt idx="18">
                  <c:v>0.12615793818946788</c:v>
                </c:pt>
                <c:pt idx="19">
                  <c:v>0.12415068376780046</c:v>
                </c:pt>
                <c:pt idx="20">
                  <c:v>0.11343106357053409</c:v>
                </c:pt>
                <c:pt idx="21">
                  <c:v>0.11343106357053409</c:v>
                </c:pt>
                <c:pt idx="22">
                  <c:v>0.11029140695555881</c:v>
                </c:pt>
                <c:pt idx="23">
                  <c:v>0.10733581429107338</c:v>
                </c:pt>
                <c:pt idx="24">
                  <c:v>0.10733581429107338</c:v>
                </c:pt>
                <c:pt idx="25">
                  <c:v>0.10191413298027743</c:v>
                </c:pt>
                <c:pt idx="26">
                  <c:v>9.9421077043226072E-2</c:v>
                </c:pt>
                <c:pt idx="27">
                  <c:v>9.5921383925821918E-2</c:v>
                </c:pt>
                <c:pt idx="28">
                  <c:v>9.4813799337250926E-2</c:v>
                </c:pt>
                <c:pt idx="29">
                  <c:v>9.1652507939151709E-2</c:v>
                </c:pt>
                <c:pt idx="30">
                  <c:v>9.1652507939151709E-2</c:v>
                </c:pt>
                <c:pt idx="31">
                  <c:v>9.1652507939151709E-2</c:v>
                </c:pt>
                <c:pt idx="32">
                  <c:v>8.7778393648461614E-2</c:v>
                </c:pt>
                <c:pt idx="33">
                  <c:v>8.7778393648461614E-2</c:v>
                </c:pt>
                <c:pt idx="34">
                  <c:v>8.5972218601489347E-2</c:v>
                </c:pt>
                <c:pt idx="35">
                  <c:v>8.4245408237728567E-2</c:v>
                </c:pt>
                <c:pt idx="36">
                  <c:v>8.3410103972762745E-2</c:v>
                </c:pt>
                <c:pt idx="37">
                  <c:v>8.1009320256924935E-2</c:v>
                </c:pt>
                <c:pt idx="38">
                  <c:v>8.1009320256924935E-2</c:v>
                </c:pt>
                <c:pt idx="39">
                  <c:v>8.0242234215674335E-2</c:v>
                </c:pt>
                <c:pt idx="40">
                  <c:v>7.949086173515986E-2</c:v>
                </c:pt>
                <c:pt idx="41">
                  <c:v>7.7326215476415563E-2</c:v>
                </c:pt>
                <c:pt idx="42">
                  <c:v>7.3990684023387585E-2</c:v>
                </c:pt>
                <c:pt idx="43">
                  <c:v>7.2742696855168432E-2</c:v>
                </c:pt>
                <c:pt idx="44">
                  <c:v>6.6122280396505029E-2</c:v>
                </c:pt>
                <c:pt idx="45">
                  <c:v>6.0282487817611967E-2</c:v>
                </c:pt>
                <c:pt idx="46">
                  <c:v>5.512783489150079E-2</c:v>
                </c:pt>
                <c:pt idx="47">
                  <c:v>5.0570465469650029E-2</c:v>
                </c:pt>
                <c:pt idx="48">
                  <c:v>4.7716427074423688E-2</c:v>
                </c:pt>
                <c:pt idx="49">
                  <c:v>4.434554010170734E-2</c:v>
                </c:pt>
                <c:pt idx="50">
                  <c:v>4.1816737234095104E-2</c:v>
                </c:pt>
                <c:pt idx="51">
                  <c:v>3.8947604553745338E-2</c:v>
                </c:pt>
                <c:pt idx="52">
                  <c:v>3.7167229856519948E-2</c:v>
                </c:pt>
                <c:pt idx="53">
                  <c:v>3.5813644203513656E-2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2D-B243-A69B-17D8EF09E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503151"/>
        <c:axId val="873505183"/>
      </c:scatterChart>
      <c:valAx>
        <c:axId val="873503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505183"/>
        <c:crosses val="autoZero"/>
        <c:crossBetween val="midCat"/>
      </c:valAx>
      <c:valAx>
        <c:axId val="87350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503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388823272090979"/>
          <c:y val="0.20043853893263341"/>
          <c:w val="0.25722287839020125"/>
          <c:h val="0.3125021872265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 vs</a:t>
            </a:r>
            <a:r>
              <a:rPr lang="en-US" baseline="0"/>
              <a:t> </a:t>
            </a:r>
            <a:r>
              <a:rPr lang="en-US"/>
              <a:t>Response</a:t>
            </a:r>
            <a:r>
              <a:rPr lang="en-US" baseline="0"/>
              <a:t> (sensor 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580323941407239E-2"/>
          <c:y val="8.5038767638968824E-2"/>
          <c:w val="0.93075555673474264"/>
          <c:h val="0.78840440673633316"/>
        </c:manualLayout>
      </c:layout>
      <c:scatterChart>
        <c:scatterStyle val="smoothMarker"/>
        <c:varyColors val="0"/>
        <c:ser>
          <c:idx val="0"/>
          <c:order val="0"/>
          <c:tx>
            <c:v>Test 1_22.8ºC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Sheet1!$B$341:$B$363</c:f>
              <c:numCache>
                <c:formatCode>General</c:formatCode>
                <c:ptCount val="23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52</c:v>
                </c:pt>
                <c:pt idx="4">
                  <c:v>74</c:v>
                </c:pt>
                <c:pt idx="5">
                  <c:v>90</c:v>
                </c:pt>
                <c:pt idx="6">
                  <c:v>106</c:v>
                </c:pt>
                <c:pt idx="7">
                  <c:v>124</c:v>
                </c:pt>
                <c:pt idx="8">
                  <c:v>148</c:v>
                </c:pt>
                <c:pt idx="9">
                  <c:v>170</c:v>
                </c:pt>
                <c:pt idx="10">
                  <c:v>183</c:v>
                </c:pt>
                <c:pt idx="11">
                  <c:v>195</c:v>
                </c:pt>
                <c:pt idx="12">
                  <c:v>208</c:v>
                </c:pt>
                <c:pt idx="13">
                  <c:v>222</c:v>
                </c:pt>
                <c:pt idx="14">
                  <c:v>238</c:v>
                </c:pt>
                <c:pt idx="15">
                  <c:v>252</c:v>
                </c:pt>
                <c:pt idx="16">
                  <c:v>265</c:v>
                </c:pt>
                <c:pt idx="17">
                  <c:v>282</c:v>
                </c:pt>
                <c:pt idx="18">
                  <c:v>300</c:v>
                </c:pt>
                <c:pt idx="19">
                  <c:v>316</c:v>
                </c:pt>
                <c:pt idx="20">
                  <c:v>332</c:v>
                </c:pt>
                <c:pt idx="21">
                  <c:v>493</c:v>
                </c:pt>
                <c:pt idx="22">
                  <c:v>675</c:v>
                </c:pt>
              </c:numCache>
            </c:numRef>
          </c:xVal>
          <c:yVal>
            <c:numRef>
              <c:f>Sheet1!$I$341:$I$363</c:f>
              <c:numCache>
                <c:formatCode>General</c:formatCode>
                <c:ptCount val="23"/>
                <c:pt idx="1">
                  <c:v>0.77512751745438202</c:v>
                </c:pt>
                <c:pt idx="2">
                  <c:v>0.66767612012922062</c:v>
                </c:pt>
                <c:pt idx="3">
                  <c:v>0.61047604663199384</c:v>
                </c:pt>
                <c:pt idx="4">
                  <c:v>0.56061403946103461</c:v>
                </c:pt>
                <c:pt idx="5">
                  <c:v>0.52968203109861978</c:v>
                </c:pt>
                <c:pt idx="6">
                  <c:v>0.50727459196994129</c:v>
                </c:pt>
                <c:pt idx="7">
                  <c:v>0.48915718469975983</c:v>
                </c:pt>
                <c:pt idx="8">
                  <c:v>0.4665291806920227</c:v>
                </c:pt>
                <c:pt idx="9">
                  <c:v>0.45327779213300695</c:v>
                </c:pt>
                <c:pt idx="10">
                  <c:v>0.44902502092104374</c:v>
                </c:pt>
                <c:pt idx="11">
                  <c:v>0.44279217503929041</c:v>
                </c:pt>
                <c:pt idx="12">
                  <c:v>0.43772769331375372</c:v>
                </c:pt>
                <c:pt idx="13">
                  <c:v>0.43277676499013507</c:v>
                </c:pt>
                <c:pt idx="14">
                  <c:v>0.42793561334774954</c:v>
                </c:pt>
                <c:pt idx="15">
                  <c:v>0.42320062731155667</c:v>
                </c:pt>
                <c:pt idx="16">
                  <c:v>0.41856835246920748</c:v>
                </c:pt>
                <c:pt idx="17">
                  <c:v>0.41136215262916925</c:v>
                </c:pt>
                <c:pt idx="18">
                  <c:v>0.40439767018418465</c:v>
                </c:pt>
                <c:pt idx="19">
                  <c:v>0.40184584028832698</c:v>
                </c:pt>
                <c:pt idx="20">
                  <c:v>0.41047862653176032</c:v>
                </c:pt>
                <c:pt idx="21">
                  <c:v>0.33718309639486971</c:v>
                </c:pt>
                <c:pt idx="22">
                  <c:v>0.32619922185010664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D3-7045-90C0-2EC3552FFB0D}"/>
            </c:ext>
          </c:extLst>
        </c:ser>
        <c:ser>
          <c:idx val="1"/>
          <c:order val="1"/>
          <c:tx>
            <c:v>Test 2_22.5ºC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Sheet1!$M$342:$M$363</c:f>
              <c:numCache>
                <c:formatCode>General</c:formatCode>
                <c:ptCount val="22"/>
                <c:pt idx="0">
                  <c:v>20</c:v>
                </c:pt>
                <c:pt idx="1">
                  <c:v>38</c:v>
                </c:pt>
                <c:pt idx="2">
                  <c:v>61</c:v>
                </c:pt>
                <c:pt idx="3">
                  <c:v>81</c:v>
                </c:pt>
                <c:pt idx="4">
                  <c:v>98</c:v>
                </c:pt>
                <c:pt idx="5">
                  <c:v>112</c:v>
                </c:pt>
                <c:pt idx="6">
                  <c:v>129</c:v>
                </c:pt>
                <c:pt idx="7">
                  <c:v>146</c:v>
                </c:pt>
                <c:pt idx="8">
                  <c:v>165</c:v>
                </c:pt>
                <c:pt idx="9">
                  <c:v>182</c:v>
                </c:pt>
                <c:pt idx="10">
                  <c:v>199</c:v>
                </c:pt>
                <c:pt idx="11">
                  <c:v>223</c:v>
                </c:pt>
                <c:pt idx="12">
                  <c:v>239</c:v>
                </c:pt>
                <c:pt idx="13">
                  <c:v>253</c:v>
                </c:pt>
                <c:pt idx="14">
                  <c:v>273</c:v>
                </c:pt>
                <c:pt idx="15">
                  <c:v>288</c:v>
                </c:pt>
                <c:pt idx="16">
                  <c:v>304</c:v>
                </c:pt>
                <c:pt idx="17">
                  <c:v>320</c:v>
                </c:pt>
                <c:pt idx="18">
                  <c:v>336</c:v>
                </c:pt>
                <c:pt idx="19">
                  <c:v>351</c:v>
                </c:pt>
                <c:pt idx="20">
                  <c:v>491</c:v>
                </c:pt>
                <c:pt idx="21">
                  <c:v>565</c:v>
                </c:pt>
              </c:numCache>
            </c:numRef>
          </c:xVal>
          <c:yVal>
            <c:numRef>
              <c:f>Sheet1!$U$342:$U$364</c:f>
              <c:numCache>
                <c:formatCode>General</c:formatCode>
                <c:ptCount val="23"/>
                <c:pt idx="0">
                  <c:v>0.82163382416997655</c:v>
                </c:pt>
                <c:pt idx="1">
                  <c:v>0.70875917753048723</c:v>
                </c:pt>
                <c:pt idx="2">
                  <c:v>0.65798561640148023</c:v>
                </c:pt>
                <c:pt idx="3">
                  <c:v>0.62859520926480283</c:v>
                </c:pt>
                <c:pt idx="4">
                  <c:v>0.59491286965737222</c:v>
                </c:pt>
                <c:pt idx="5">
                  <c:v>0.58177991417092789</c:v>
                </c:pt>
                <c:pt idx="6">
                  <c:v>0.57386020959548778</c:v>
                </c:pt>
                <c:pt idx="7">
                  <c:v>0.55864604027951037</c:v>
                </c:pt>
                <c:pt idx="8">
                  <c:v>0.53864365523972291</c:v>
                </c:pt>
                <c:pt idx="9">
                  <c:v>0.53590162554451382</c:v>
                </c:pt>
                <c:pt idx="10">
                  <c:v>0.53864365523972291</c:v>
                </c:pt>
                <c:pt idx="11">
                  <c:v>0.53049982704495213</c:v>
                </c:pt>
                <c:pt idx="12">
                  <c:v>0.52259670313180029</c:v>
                </c:pt>
                <c:pt idx="13">
                  <c:v>0.53049982704495213</c:v>
                </c:pt>
                <c:pt idx="14">
                  <c:v>0.5278392397242726</c:v>
                </c:pt>
                <c:pt idx="15">
                  <c:v>0.52259670313180029</c:v>
                </c:pt>
                <c:pt idx="16">
                  <c:v>0.5265188489944066</c:v>
                </c:pt>
                <c:pt idx="17">
                  <c:v>0.51745645993625444</c:v>
                </c:pt>
                <c:pt idx="18">
                  <c:v>0.52259670313180029</c:v>
                </c:pt>
                <c:pt idx="19">
                  <c:v>0.54141366482978082</c:v>
                </c:pt>
                <c:pt idx="20">
                  <c:v>0.51366661961411464</c:v>
                </c:pt>
                <c:pt idx="21">
                  <c:v>0.49434932939403942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D3-7045-90C0-2EC3552FFB0D}"/>
            </c:ext>
          </c:extLst>
        </c:ser>
        <c:ser>
          <c:idx val="2"/>
          <c:order val="2"/>
          <c:tx>
            <c:v>Test 3_22.8ºC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Sheet1!$L$376:$L$398</c:f>
              <c:numCache>
                <c:formatCode>General</c:formatCode>
                <c:ptCount val="23"/>
                <c:pt idx="0">
                  <c:v>0</c:v>
                </c:pt>
                <c:pt idx="1">
                  <c:v>17</c:v>
                </c:pt>
                <c:pt idx="2">
                  <c:v>35</c:v>
                </c:pt>
                <c:pt idx="3">
                  <c:v>49</c:v>
                </c:pt>
                <c:pt idx="4">
                  <c:v>59</c:v>
                </c:pt>
                <c:pt idx="5">
                  <c:v>72</c:v>
                </c:pt>
                <c:pt idx="6">
                  <c:v>84</c:v>
                </c:pt>
                <c:pt idx="7">
                  <c:v>95</c:v>
                </c:pt>
                <c:pt idx="8">
                  <c:v>108</c:v>
                </c:pt>
                <c:pt idx="9">
                  <c:v>122</c:v>
                </c:pt>
                <c:pt idx="10">
                  <c:v>136</c:v>
                </c:pt>
                <c:pt idx="11">
                  <c:v>147</c:v>
                </c:pt>
                <c:pt idx="12">
                  <c:v>159</c:v>
                </c:pt>
                <c:pt idx="13">
                  <c:v>168</c:v>
                </c:pt>
                <c:pt idx="14">
                  <c:v>178</c:v>
                </c:pt>
                <c:pt idx="15">
                  <c:v>188</c:v>
                </c:pt>
                <c:pt idx="16">
                  <c:v>197</c:v>
                </c:pt>
                <c:pt idx="17">
                  <c:v>204</c:v>
                </c:pt>
                <c:pt idx="18">
                  <c:v>213</c:v>
                </c:pt>
                <c:pt idx="19">
                  <c:v>220</c:v>
                </c:pt>
                <c:pt idx="20">
                  <c:v>229</c:v>
                </c:pt>
                <c:pt idx="21">
                  <c:v>452</c:v>
                </c:pt>
                <c:pt idx="22">
                  <c:v>649</c:v>
                </c:pt>
              </c:numCache>
            </c:numRef>
          </c:xVal>
          <c:yVal>
            <c:numRef>
              <c:f>Sheet1!$Q$376:$Q$398</c:f>
              <c:numCache>
                <c:formatCode>General</c:formatCode>
                <c:ptCount val="23"/>
                <c:pt idx="1">
                  <c:v>0.76242985275539565</c:v>
                </c:pt>
                <c:pt idx="2">
                  <c:v>0.68354027499453596</c:v>
                </c:pt>
                <c:pt idx="3">
                  <c:v>0.65594261888548544</c:v>
                </c:pt>
                <c:pt idx="4">
                  <c:v>0.63236330281429087</c:v>
                </c:pt>
                <c:pt idx="5">
                  <c:v>0.60689764145740099</c:v>
                </c:pt>
                <c:pt idx="6">
                  <c:v>0.58178082477663284</c:v>
                </c:pt>
                <c:pt idx="7">
                  <c:v>0.56162535460070773</c:v>
                </c:pt>
                <c:pt idx="8">
                  <c:v>0.54704021063914432</c:v>
                </c:pt>
                <c:pt idx="9">
                  <c:v>0.52520581690658574</c:v>
                </c:pt>
                <c:pt idx="10">
                  <c:v>0.51366742360844808</c:v>
                </c:pt>
                <c:pt idx="11">
                  <c:v>0.48974383678551942</c:v>
                </c:pt>
                <c:pt idx="12">
                  <c:v>0.49551512262539649</c:v>
                </c:pt>
                <c:pt idx="13">
                  <c:v>0.48974383678551942</c:v>
                </c:pt>
                <c:pt idx="14">
                  <c:v>0.48078198521375559</c:v>
                </c:pt>
                <c:pt idx="15">
                  <c:v>0.47213948692740004</c:v>
                </c:pt>
                <c:pt idx="16">
                  <c:v>0.47002676977424979</c:v>
                </c:pt>
                <c:pt idx="17">
                  <c:v>0.46277756670399772</c:v>
                </c:pt>
                <c:pt idx="18">
                  <c:v>0.45873379356276861</c:v>
                </c:pt>
                <c:pt idx="19">
                  <c:v>0.45574661921005433</c:v>
                </c:pt>
                <c:pt idx="20">
                  <c:v>0.45085273782369251</c:v>
                </c:pt>
                <c:pt idx="21">
                  <c:v>0.40709014465718774</c:v>
                </c:pt>
                <c:pt idx="22">
                  <c:v>0.38966570148481516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D3-7045-90C0-2EC3552FFB0D}"/>
            </c:ext>
          </c:extLst>
        </c:ser>
        <c:ser>
          <c:idx val="5"/>
          <c:order val="3"/>
          <c:tx>
            <c:v>Datasheet values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Sheet1!$Y$387:$Y$452</c:f>
              <c:numCache>
                <c:formatCode>General</c:formatCode>
                <c:ptCount val="66"/>
                <c:pt idx="0">
                  <c:v>17</c:v>
                </c:pt>
                <c:pt idx="1">
                  <c:v>20</c:v>
                </c:pt>
                <c:pt idx="2">
                  <c:v>20</c:v>
                </c:pt>
                <c:pt idx="3">
                  <c:v>35</c:v>
                </c:pt>
                <c:pt idx="4">
                  <c:v>37</c:v>
                </c:pt>
                <c:pt idx="5">
                  <c:v>38</c:v>
                </c:pt>
                <c:pt idx="6">
                  <c:v>49</c:v>
                </c:pt>
                <c:pt idx="7">
                  <c:v>52</c:v>
                </c:pt>
                <c:pt idx="8">
                  <c:v>59</c:v>
                </c:pt>
                <c:pt idx="9">
                  <c:v>61</c:v>
                </c:pt>
                <c:pt idx="10">
                  <c:v>72</c:v>
                </c:pt>
                <c:pt idx="11">
                  <c:v>74</c:v>
                </c:pt>
                <c:pt idx="12">
                  <c:v>81</c:v>
                </c:pt>
                <c:pt idx="13">
                  <c:v>84</c:v>
                </c:pt>
                <c:pt idx="14">
                  <c:v>90</c:v>
                </c:pt>
                <c:pt idx="15">
                  <c:v>95</c:v>
                </c:pt>
                <c:pt idx="16">
                  <c:v>98</c:v>
                </c:pt>
                <c:pt idx="17">
                  <c:v>106</c:v>
                </c:pt>
                <c:pt idx="18">
                  <c:v>108</c:v>
                </c:pt>
                <c:pt idx="19">
                  <c:v>112</c:v>
                </c:pt>
                <c:pt idx="20">
                  <c:v>122</c:v>
                </c:pt>
                <c:pt idx="21">
                  <c:v>124</c:v>
                </c:pt>
                <c:pt idx="22">
                  <c:v>129</c:v>
                </c:pt>
                <c:pt idx="23">
                  <c:v>136</c:v>
                </c:pt>
                <c:pt idx="24">
                  <c:v>146</c:v>
                </c:pt>
                <c:pt idx="25">
                  <c:v>147</c:v>
                </c:pt>
                <c:pt idx="26">
                  <c:v>148</c:v>
                </c:pt>
                <c:pt idx="27">
                  <c:v>159</c:v>
                </c:pt>
                <c:pt idx="28">
                  <c:v>165</c:v>
                </c:pt>
                <c:pt idx="29">
                  <c:v>168</c:v>
                </c:pt>
                <c:pt idx="30">
                  <c:v>170</c:v>
                </c:pt>
                <c:pt idx="31">
                  <c:v>178</c:v>
                </c:pt>
                <c:pt idx="32">
                  <c:v>182</c:v>
                </c:pt>
                <c:pt idx="33">
                  <c:v>183</c:v>
                </c:pt>
                <c:pt idx="34">
                  <c:v>188</c:v>
                </c:pt>
                <c:pt idx="35">
                  <c:v>195</c:v>
                </c:pt>
                <c:pt idx="36">
                  <c:v>197</c:v>
                </c:pt>
                <c:pt idx="37">
                  <c:v>199</c:v>
                </c:pt>
                <c:pt idx="38">
                  <c:v>204</c:v>
                </c:pt>
                <c:pt idx="39">
                  <c:v>208</c:v>
                </c:pt>
                <c:pt idx="40">
                  <c:v>213</c:v>
                </c:pt>
                <c:pt idx="41">
                  <c:v>220</c:v>
                </c:pt>
                <c:pt idx="42">
                  <c:v>222</c:v>
                </c:pt>
                <c:pt idx="43">
                  <c:v>223</c:v>
                </c:pt>
                <c:pt idx="44">
                  <c:v>229</c:v>
                </c:pt>
                <c:pt idx="45">
                  <c:v>238</c:v>
                </c:pt>
                <c:pt idx="46">
                  <c:v>239</c:v>
                </c:pt>
                <c:pt idx="47">
                  <c:v>252</c:v>
                </c:pt>
                <c:pt idx="48">
                  <c:v>253</c:v>
                </c:pt>
                <c:pt idx="49">
                  <c:v>265</c:v>
                </c:pt>
                <c:pt idx="50">
                  <c:v>273</c:v>
                </c:pt>
                <c:pt idx="51">
                  <c:v>282</c:v>
                </c:pt>
                <c:pt idx="52">
                  <c:v>288</c:v>
                </c:pt>
                <c:pt idx="53">
                  <c:v>300</c:v>
                </c:pt>
                <c:pt idx="54">
                  <c:v>304</c:v>
                </c:pt>
                <c:pt idx="55">
                  <c:v>316</c:v>
                </c:pt>
                <c:pt idx="56">
                  <c:v>320</c:v>
                </c:pt>
                <c:pt idx="57">
                  <c:v>332</c:v>
                </c:pt>
                <c:pt idx="58">
                  <c:v>336</c:v>
                </c:pt>
                <c:pt idx="59">
                  <c:v>351</c:v>
                </c:pt>
                <c:pt idx="60">
                  <c:v>452</c:v>
                </c:pt>
                <c:pt idx="61">
                  <c:v>491</c:v>
                </c:pt>
                <c:pt idx="62">
                  <c:v>493</c:v>
                </c:pt>
                <c:pt idx="63">
                  <c:v>565</c:v>
                </c:pt>
                <c:pt idx="64">
                  <c:v>649</c:v>
                </c:pt>
                <c:pt idx="65">
                  <c:v>675</c:v>
                </c:pt>
              </c:numCache>
            </c:numRef>
          </c:xVal>
          <c:yVal>
            <c:numRef>
              <c:f>Sheet1!$Z$387:$Z$452</c:f>
              <c:numCache>
                <c:formatCode>General</c:formatCode>
                <c:ptCount val="66"/>
                <c:pt idx="0">
                  <c:v>0.32340848221590535</c:v>
                </c:pt>
                <c:pt idx="1">
                  <c:v>0.28204742665113969</c:v>
                </c:pt>
                <c:pt idx="2">
                  <c:v>0.28204742665113969</c:v>
                </c:pt>
                <c:pt idx="3">
                  <c:v>0.17606948935046565</c:v>
                </c:pt>
                <c:pt idx="4">
                  <c:v>0.1680209927257145</c:v>
                </c:pt>
                <c:pt idx="5">
                  <c:v>0.16429018159576436</c:v>
                </c:pt>
                <c:pt idx="6">
                  <c:v>0.13263077233704865</c:v>
                </c:pt>
                <c:pt idx="7">
                  <c:v>0.12615793818946788</c:v>
                </c:pt>
                <c:pt idx="8">
                  <c:v>0.11343106357053409</c:v>
                </c:pt>
                <c:pt idx="9">
                  <c:v>0.11029140695555881</c:v>
                </c:pt>
                <c:pt idx="10">
                  <c:v>9.5921383925821918E-2</c:v>
                </c:pt>
                <c:pt idx="11">
                  <c:v>9.3733814280078112E-2</c:v>
                </c:pt>
                <c:pt idx="12">
                  <c:v>8.686503762678878E-2</c:v>
                </c:pt>
                <c:pt idx="13">
                  <c:v>8.4245408237728567E-2</c:v>
                </c:pt>
                <c:pt idx="14">
                  <c:v>7.949086173515986E-2</c:v>
                </c:pt>
                <c:pt idx="15">
                  <c:v>7.5953208117866738E-2</c:v>
                </c:pt>
                <c:pt idx="16">
                  <c:v>7.3990684023387585E-2</c:v>
                </c:pt>
                <c:pt idx="17">
                  <c:v>6.9259899886633336E-2</c:v>
                </c:pt>
                <c:pt idx="18">
                  <c:v>6.8178367162795891E-2</c:v>
                </c:pt>
                <c:pt idx="19">
                  <c:v>6.6122280396505029E-2</c:v>
                </c:pt>
                <c:pt idx="20">
                  <c:v>6.1528229827430989E-2</c:v>
                </c:pt>
                <c:pt idx="21">
                  <c:v>6.0691565376524703E-2</c:v>
                </c:pt>
                <c:pt idx="22">
                  <c:v>5.8704698503003305E-2</c:v>
                </c:pt>
                <c:pt idx="23">
                  <c:v>5.6149984040472632E-2</c:v>
                </c:pt>
                <c:pt idx="24">
                  <c:v>5.2893742109799746E-2</c:v>
                </c:pt>
                <c:pt idx="25">
                  <c:v>5.2590609262622906E-2</c:v>
                </c:pt>
                <c:pt idx="26">
                  <c:v>5.2291251211894256E-2</c:v>
                </c:pt>
                <c:pt idx="27">
                  <c:v>4.9228093787523082E-2</c:v>
                </c:pt>
                <c:pt idx="28">
                  <c:v>4.7716427074423688E-2</c:v>
                </c:pt>
                <c:pt idx="29">
                  <c:v>4.6997957348076595E-2</c:v>
                </c:pt>
                <c:pt idx="30">
                  <c:v>4.6531966440812547E-2</c:v>
                </c:pt>
                <c:pt idx="31">
                  <c:v>4.4764708012818739E-2</c:v>
                </c:pt>
                <c:pt idx="32">
                  <c:v>4.393486429718526E-2</c:v>
                </c:pt>
                <c:pt idx="33">
                  <c:v>4.3732628454312979E-2</c:v>
                </c:pt>
                <c:pt idx="34">
                  <c:v>4.2751217650985468E-2</c:v>
                </c:pt>
                <c:pt idx="35">
                  <c:v>4.1455318411484809E-2</c:v>
                </c:pt>
                <c:pt idx="36">
                  <c:v>4.1100663755743054E-2</c:v>
                </c:pt>
                <c:pt idx="37">
                  <c:v>4.0752579908705455E-2</c:v>
                </c:pt>
                <c:pt idx="38">
                  <c:v>3.9909914467632333E-2</c:v>
                </c:pt>
                <c:pt idx="39">
                  <c:v>3.9262691710251228E-2</c:v>
                </c:pt>
                <c:pt idx="40">
                  <c:v>3.8485202132614769E-2</c:v>
                </c:pt>
                <c:pt idx="41">
                  <c:v>3.7451524498891706E-2</c:v>
                </c:pt>
                <c:pt idx="42">
                  <c:v>3.7167229856519948E-2</c:v>
                </c:pt>
                <c:pt idx="43">
                  <c:v>3.7026844595187368E-2</c:v>
                </c:pt>
                <c:pt idx="44">
                  <c:v>3.6208282237394043E-2</c:v>
                </c:pt>
                <c:pt idx="45">
                  <c:v>3.5051902917274357E-2</c:v>
                </c:pt>
                <c:pt idx="46">
                  <c:v>3.4928373738935065E-2</c:v>
                </c:pt>
                <c:pt idx="47">
                  <c:v>3.3404897436180636E-2</c:v>
                </c:pt>
                <c:pt idx="48">
                  <c:v>3.3293689057584154E-2</c:v>
                </c:pt>
                <c:pt idx="49">
                  <c:v>3.201963464411739E-2</c:v>
                </c:pt>
                <c:pt idx="50">
                  <c:v>3.1227732406545781E-2</c:v>
                </c:pt>
                <c:pt idx="51">
                  <c:v>3.0386427868049643E-2</c:v>
                </c:pt>
                <c:pt idx="52">
                  <c:v>2.9852514867864298E-2</c:v>
                </c:pt>
                <c:pt idx="53">
                  <c:v>2.8843854858190889E-2</c:v>
                </c:pt>
                <c:pt idx="54">
                  <c:v>2.8523961435402447E-2</c:v>
                </c:pt>
                <c:pt idx="55">
                  <c:v>2.7609139712355353E-2</c:v>
                </c:pt>
                <c:pt idx="56">
                  <c:v>2.7318265169050952E-2</c:v>
                </c:pt>
                <c:pt idx="57">
                  <c:v>2.6484460556888734E-2</c:v>
                </c:pt>
                <c:pt idx="58">
                  <c:v>2.621873454110028E-2</c:v>
                </c:pt>
                <c:pt idx="59">
                  <c:v>2.5272069424450122E-2</c:v>
                </c:pt>
                <c:pt idx="60">
                  <c:v>2.0425036245810949E-2</c:v>
                </c:pt>
                <c:pt idx="61">
                  <c:v>1.905016675620487E-2</c:v>
                </c:pt>
                <c:pt idx="62">
                  <c:v>1.8985073899564421E-2</c:v>
                </c:pt>
                <c:pt idx="63">
                  <c:v>1.6926400200886954E-2</c:v>
                </c:pt>
                <c:pt idx="64">
                  <c:v>1.5061886246179775E-2</c:v>
                </c:pt>
                <c:pt idx="65">
                  <c:v>1.4571881178690804E-2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D3-7045-90C0-2EC3552FF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375615"/>
        <c:axId val="1432501263"/>
      </c:scatterChart>
      <c:valAx>
        <c:axId val="1489375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2501263"/>
        <c:crosses val="autoZero"/>
        <c:crossBetween val="midCat"/>
        <c:majorUnit val="50"/>
        <c:minorUnit val="5"/>
      </c:valAx>
      <c:valAx>
        <c:axId val="143250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 (Rs/R0)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375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408604742266417"/>
          <c:y val="9.8422185535631146E-2"/>
          <c:w val="0.19002595455525589"/>
          <c:h val="0.207992239443755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fan on experiment</a:t>
            </a:r>
          </a:p>
          <a:p>
            <a:pPr>
              <a:defRPr/>
            </a:pPr>
            <a:r>
              <a:rPr lang="en-US" baseline="0"/>
              <a:t>(average response time) (s)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Sheet1!$F$137:$F$141</c:f>
                <c:numCache>
                  <c:formatCode>General</c:formatCode>
                  <c:ptCount val="5"/>
                  <c:pt idx="0">
                    <c:v>14.8436293854749</c:v>
                  </c:pt>
                  <c:pt idx="1">
                    <c:v>14.52583904633395</c:v>
                  </c:pt>
                  <c:pt idx="2">
                    <c:v>23.797758998135389</c:v>
                  </c:pt>
                  <c:pt idx="3">
                    <c:v>15.0996688705415</c:v>
                  </c:pt>
                  <c:pt idx="4">
                    <c:v>45.902069670114003</c:v>
                  </c:pt>
                </c:numCache>
              </c:numRef>
            </c:plus>
            <c:minus>
              <c:numRef>
                <c:f>Sheet1!$F$137:$F$141</c:f>
                <c:numCache>
                  <c:formatCode>General</c:formatCode>
                  <c:ptCount val="5"/>
                  <c:pt idx="0">
                    <c:v>14.8436293854749</c:v>
                  </c:pt>
                  <c:pt idx="1">
                    <c:v>14.52583904633395</c:v>
                  </c:pt>
                  <c:pt idx="2">
                    <c:v>23.797758998135389</c:v>
                  </c:pt>
                  <c:pt idx="3">
                    <c:v>15.0996688705415</c:v>
                  </c:pt>
                  <c:pt idx="4">
                    <c:v>45.902069670114003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Sheet1!$A$137:$A$141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Sheet1!$E$137:$E$141</c:f>
              <c:numCache>
                <c:formatCode>General</c:formatCode>
                <c:ptCount val="5"/>
                <c:pt idx="0">
                  <c:v>76.333333333333329</c:v>
                </c:pt>
                <c:pt idx="1">
                  <c:v>86</c:v>
                </c:pt>
                <c:pt idx="2">
                  <c:v>95.666666666666671</c:v>
                </c:pt>
                <c:pt idx="3">
                  <c:v>134</c:v>
                </c:pt>
                <c:pt idx="4">
                  <c:v>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54-DC46-9CB5-C606D304E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403791"/>
        <c:axId val="1258785839"/>
      </c:scatterChart>
      <c:valAx>
        <c:axId val="1264403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Spraying 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785839"/>
        <c:crosses val="autoZero"/>
        <c:crossBetween val="midCat"/>
      </c:valAx>
      <c:valAx>
        <c:axId val="125878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response time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440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 vs Settling time (fan 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325026116080057E-2"/>
          <c:y val="4.8954504199854927E-2"/>
          <c:w val="0.84037146088397552"/>
          <c:h val="0.7904231334713927"/>
        </c:manualLayout>
      </c:layout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Sheet1!$B$120:$B$125</c:f>
              <c:numCache>
                <c:formatCode>General</c:formatCode>
                <c:ptCount val="6"/>
                <c:pt idx="0">
                  <c:v>45</c:v>
                </c:pt>
                <c:pt idx="1">
                  <c:v>118</c:v>
                </c:pt>
                <c:pt idx="2">
                  <c:v>209</c:v>
                </c:pt>
                <c:pt idx="3">
                  <c:v>306</c:v>
                </c:pt>
                <c:pt idx="4">
                  <c:v>364</c:v>
                </c:pt>
                <c:pt idx="5">
                  <c:v>377</c:v>
                </c:pt>
              </c:numCache>
            </c:numRef>
          </c:xVal>
          <c:yVal>
            <c:numRef>
              <c:f>Sheet1!$C$120:$C$125</c:f>
              <c:numCache>
                <c:formatCode>General</c:formatCode>
                <c:ptCount val="6"/>
                <c:pt idx="0">
                  <c:v>89</c:v>
                </c:pt>
                <c:pt idx="1">
                  <c:v>87</c:v>
                </c:pt>
                <c:pt idx="2">
                  <c:v>117</c:v>
                </c:pt>
                <c:pt idx="3">
                  <c:v>150</c:v>
                </c:pt>
                <c:pt idx="4">
                  <c:v>120</c:v>
                </c:pt>
                <c:pt idx="5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E3-0940-84F7-FB5625AFA703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Sheet1!$F$120:$F$125</c:f>
              <c:numCache>
                <c:formatCode>General</c:formatCode>
                <c:ptCount val="6"/>
                <c:pt idx="0">
                  <c:v>52</c:v>
                </c:pt>
                <c:pt idx="1">
                  <c:v>130</c:v>
                </c:pt>
                <c:pt idx="2">
                  <c:v>247</c:v>
                </c:pt>
                <c:pt idx="3">
                  <c:v>369</c:v>
                </c:pt>
                <c:pt idx="4">
                  <c:v>468</c:v>
                </c:pt>
                <c:pt idx="5">
                  <c:v>530</c:v>
                </c:pt>
              </c:numCache>
            </c:numRef>
          </c:xVal>
          <c:yVal>
            <c:numRef>
              <c:f>Sheet1!$G$120:$G$125</c:f>
              <c:numCache>
                <c:formatCode>General</c:formatCode>
                <c:ptCount val="6"/>
                <c:pt idx="0">
                  <c:v>60</c:v>
                </c:pt>
                <c:pt idx="1">
                  <c:v>71</c:v>
                </c:pt>
                <c:pt idx="2">
                  <c:v>100</c:v>
                </c:pt>
                <c:pt idx="3">
                  <c:v>132</c:v>
                </c:pt>
                <c:pt idx="4">
                  <c:v>119</c:v>
                </c:pt>
                <c:pt idx="5">
                  <c:v>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E3-0940-84F7-FB5625AFA703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Sheet1!$N$120:$N$125</c:f>
              <c:numCache>
                <c:formatCode>General</c:formatCode>
                <c:ptCount val="6"/>
                <c:pt idx="0">
                  <c:v>122</c:v>
                </c:pt>
                <c:pt idx="1">
                  <c:v>296</c:v>
                </c:pt>
                <c:pt idx="2">
                  <c:v>492</c:v>
                </c:pt>
                <c:pt idx="3">
                  <c:v>636</c:v>
                </c:pt>
                <c:pt idx="4">
                  <c:v>704</c:v>
                </c:pt>
                <c:pt idx="5">
                  <c:v>710</c:v>
                </c:pt>
              </c:numCache>
            </c:numRef>
          </c:xVal>
          <c:yVal>
            <c:numRef>
              <c:f>Sheet1!$O$120:$O$125</c:f>
              <c:numCache>
                <c:formatCode>General</c:formatCode>
                <c:ptCount val="6"/>
                <c:pt idx="0">
                  <c:v>90</c:v>
                </c:pt>
                <c:pt idx="1">
                  <c:v>140</c:v>
                </c:pt>
                <c:pt idx="2">
                  <c:v>143</c:v>
                </c:pt>
                <c:pt idx="3">
                  <c:v>106</c:v>
                </c:pt>
                <c:pt idx="4">
                  <c:v>77</c:v>
                </c:pt>
                <c:pt idx="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AF-B041-BA7C-345D02731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490832"/>
        <c:axId val="1385232016"/>
      </c:scatterChart>
      <c:valAx>
        <c:axId val="144449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232016"/>
        <c:crosses val="autoZero"/>
        <c:crossBetween val="midCat"/>
      </c:valAx>
      <c:valAx>
        <c:axId val="13852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Settling 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490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401759185081414"/>
          <c:y val="7.2145504460483331E-2"/>
          <c:w val="8.4614588186571416E-2"/>
          <c:h val="0.1729120067428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Sheet1!$W$94:$W$99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Sheet1!$X$94:$X$99</c:f>
              <c:numCache>
                <c:formatCode>General</c:formatCode>
                <c:ptCount val="6"/>
                <c:pt idx="0">
                  <c:v>37</c:v>
                </c:pt>
                <c:pt idx="1">
                  <c:v>106</c:v>
                </c:pt>
                <c:pt idx="2">
                  <c:v>208</c:v>
                </c:pt>
                <c:pt idx="3">
                  <c:v>316</c:v>
                </c:pt>
                <c:pt idx="4">
                  <c:v>493</c:v>
                </c:pt>
                <c:pt idx="5">
                  <c:v>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02-6D4C-BA06-E53A2AB022F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Sheet1!$W$94:$W$99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Sheet1!$Y$94:$Y$99</c:f>
              <c:numCache>
                <c:formatCode>General</c:formatCode>
                <c:ptCount val="6"/>
                <c:pt idx="0">
                  <c:v>59</c:v>
                </c:pt>
                <c:pt idx="1">
                  <c:v>190</c:v>
                </c:pt>
                <c:pt idx="2">
                  <c:v>361.5</c:v>
                </c:pt>
                <c:pt idx="3">
                  <c:v>590.25</c:v>
                </c:pt>
                <c:pt idx="4">
                  <c:v>729.5</c:v>
                </c:pt>
                <c:pt idx="5">
                  <c:v>788.75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02-6D4C-BA06-E53A2AB02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1035456"/>
        <c:axId val="1391056816"/>
      </c:scatterChart>
      <c:valAx>
        <c:axId val="139103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1056816"/>
        <c:crosses val="autoZero"/>
        <c:crossBetween val="midCat"/>
      </c:valAx>
      <c:valAx>
        <c:axId val="13910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103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vs temperature at the centre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Sheet1!$S$1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Sheet1!$S$2:$S$12</c:f>
              <c:numCache>
                <c:formatCode>General</c:formatCode>
                <c:ptCount val="11"/>
                <c:pt idx="0">
                  <c:v>46.333333333333336</c:v>
                </c:pt>
                <c:pt idx="1">
                  <c:v>77</c:v>
                </c:pt>
                <c:pt idx="2">
                  <c:v>117.33333333333333</c:v>
                </c:pt>
                <c:pt idx="3">
                  <c:v>172.33333333333334</c:v>
                </c:pt>
                <c:pt idx="4">
                  <c:v>208.33333333333334</c:v>
                </c:pt>
                <c:pt idx="5">
                  <c:v>224</c:v>
                </c:pt>
                <c:pt idx="6">
                  <c:v>253.33333333333334</c:v>
                </c:pt>
                <c:pt idx="7">
                  <c:v>283</c:v>
                </c:pt>
                <c:pt idx="8">
                  <c:v>310.33333333333331</c:v>
                </c:pt>
                <c:pt idx="9">
                  <c:v>331.66666666666669</c:v>
                </c:pt>
                <c:pt idx="10">
                  <c:v>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03-664B-901E-2F299F3BC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1956112"/>
        <c:axId val="1370379472"/>
      </c:scatterChart>
      <c:valAx>
        <c:axId val="139195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379472"/>
        <c:crosses val="autoZero"/>
        <c:crossBetween val="midCat"/>
      </c:valAx>
      <c:valAx>
        <c:axId val="137037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(ºC)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1956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  <a:r>
              <a:rPr lang="en-US" baseline="0"/>
              <a:t> vs Settling time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047091861282804E-2"/>
          <c:y val="0.11334535253250901"/>
          <c:w val="0.89341100244272564"/>
          <c:h val="0.78600979016015959"/>
        </c:manualLayout>
      </c:layout>
      <c:scatterChart>
        <c:scatterStyle val="smoothMarker"/>
        <c:varyColors val="0"/>
        <c:ser>
          <c:idx val="0"/>
          <c:order val="0"/>
          <c:tx>
            <c:v>Test 1_22.5ºC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813-1448-AF25-7B26E7D36081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813-1448-AF25-7B26E7D36081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813-1448-AF25-7B26E7D36081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3813-1448-AF25-7B26E7D36081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3813-1448-AF25-7B26E7D36081}"/>
              </c:ext>
            </c:extLst>
          </c:dPt>
          <c:xVal>
            <c:numRef>
              <c:f>Sheet1!$C$46:$C$51</c:f>
              <c:numCache>
                <c:formatCode>General</c:formatCode>
                <c:ptCount val="6"/>
                <c:pt idx="0">
                  <c:v>67</c:v>
                </c:pt>
                <c:pt idx="1">
                  <c:v>196</c:v>
                </c:pt>
                <c:pt idx="2">
                  <c:v>373</c:v>
                </c:pt>
                <c:pt idx="3">
                  <c:v>605</c:v>
                </c:pt>
                <c:pt idx="4">
                  <c:v>761</c:v>
                </c:pt>
                <c:pt idx="5">
                  <c:v>812</c:v>
                </c:pt>
              </c:numCache>
            </c:numRef>
          </c:xVal>
          <c:yVal>
            <c:numRef>
              <c:f>Sheet1!$D$46:$D$51</c:f>
              <c:numCache>
                <c:formatCode>General</c:formatCode>
                <c:ptCount val="6"/>
                <c:pt idx="0">
                  <c:v>70</c:v>
                </c:pt>
                <c:pt idx="1">
                  <c:v>87</c:v>
                </c:pt>
                <c:pt idx="2">
                  <c:v>96</c:v>
                </c:pt>
                <c:pt idx="3">
                  <c:v>105</c:v>
                </c:pt>
                <c:pt idx="4">
                  <c:v>95</c:v>
                </c:pt>
                <c:pt idx="5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A7-CF4C-95A8-8A3DC853F7E4}"/>
            </c:ext>
          </c:extLst>
        </c:ser>
        <c:ser>
          <c:idx val="1"/>
          <c:order val="1"/>
          <c:tx>
            <c:v>Test 2_22.1ºC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x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3813-1448-AF25-7B26E7D36081}"/>
              </c:ext>
            </c:extLst>
          </c:dPt>
          <c:xVal>
            <c:numRef>
              <c:f>Sheet1!$I$46:$I$51</c:f>
              <c:numCache>
                <c:formatCode>General</c:formatCode>
                <c:ptCount val="6"/>
                <c:pt idx="0">
                  <c:v>56</c:v>
                </c:pt>
                <c:pt idx="1">
                  <c:v>179</c:v>
                </c:pt>
                <c:pt idx="2">
                  <c:v>404</c:v>
                </c:pt>
                <c:pt idx="3">
                  <c:v>610</c:v>
                </c:pt>
                <c:pt idx="4">
                  <c:v>751</c:v>
                </c:pt>
                <c:pt idx="5">
                  <c:v>796</c:v>
                </c:pt>
              </c:numCache>
            </c:numRef>
          </c:xVal>
          <c:yVal>
            <c:numRef>
              <c:f>Sheet1!$J$46:$J$52</c:f>
              <c:numCache>
                <c:formatCode>General</c:formatCode>
                <c:ptCount val="7"/>
                <c:pt idx="0">
                  <c:v>60</c:v>
                </c:pt>
                <c:pt idx="1">
                  <c:v>74</c:v>
                </c:pt>
                <c:pt idx="2">
                  <c:v>107</c:v>
                </c:pt>
                <c:pt idx="3">
                  <c:v>140</c:v>
                </c:pt>
                <c:pt idx="4">
                  <c:v>105</c:v>
                </c:pt>
                <c:pt idx="5">
                  <c:v>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A7-CF4C-95A8-8A3DC853F7E4}"/>
            </c:ext>
          </c:extLst>
        </c:ser>
        <c:ser>
          <c:idx val="2"/>
          <c:order val="2"/>
          <c:tx>
            <c:v>Test 3_22.2ºC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/>
                </a:solidFill>
              </a:ln>
              <a:effectLst/>
            </c:spPr>
          </c:marker>
          <c:dPt>
            <c:idx val="0"/>
            <c:marker>
              <c:symbol val="squar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3813-1448-AF25-7B26E7D36081}"/>
              </c:ext>
            </c:extLst>
          </c:dPt>
          <c:dPt>
            <c:idx val="1"/>
            <c:marker>
              <c:symbol val="x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813-1448-AF25-7B26E7D36081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813-1448-AF25-7B26E7D36081}"/>
              </c:ext>
            </c:extLst>
          </c:dPt>
          <c:dPt>
            <c:idx val="3"/>
            <c:marker>
              <c:symbol val="plus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813-1448-AF25-7B26E7D36081}"/>
              </c:ext>
            </c:extLst>
          </c:dPt>
          <c:dPt>
            <c:idx val="4"/>
            <c:marker>
              <c:symbol val="diamond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813-1448-AF25-7B26E7D36081}"/>
              </c:ext>
            </c:extLst>
          </c:dPt>
          <c:xVal>
            <c:numRef>
              <c:f>Sheet1!$N$46:$N$51</c:f>
              <c:numCache>
                <c:formatCode>General</c:formatCode>
                <c:ptCount val="6"/>
                <c:pt idx="0">
                  <c:v>55</c:v>
                </c:pt>
                <c:pt idx="1">
                  <c:v>202</c:v>
                </c:pt>
                <c:pt idx="2">
                  <c:v>288</c:v>
                </c:pt>
                <c:pt idx="3">
                  <c:v>552</c:v>
                </c:pt>
                <c:pt idx="4">
                  <c:v>671</c:v>
                </c:pt>
                <c:pt idx="5">
                  <c:v>713</c:v>
                </c:pt>
              </c:numCache>
            </c:numRef>
          </c:xVal>
          <c:yVal>
            <c:numRef>
              <c:f>Sheet1!$O$46:$O$51</c:f>
              <c:numCache>
                <c:formatCode>General</c:formatCode>
                <c:ptCount val="6"/>
                <c:pt idx="0">
                  <c:v>80</c:v>
                </c:pt>
                <c:pt idx="1">
                  <c:v>107</c:v>
                </c:pt>
                <c:pt idx="2">
                  <c:v>138</c:v>
                </c:pt>
                <c:pt idx="3">
                  <c:v>135</c:v>
                </c:pt>
                <c:pt idx="4">
                  <c:v>121</c:v>
                </c:pt>
                <c:pt idx="5">
                  <c:v>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AA7-CF4C-95A8-8A3DC853F7E4}"/>
            </c:ext>
          </c:extLst>
        </c:ser>
        <c:ser>
          <c:idx val="3"/>
          <c:order val="3"/>
          <c:tx>
            <c:v>Test 4_22ºC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/>
                </a:solidFill>
              </a:ln>
              <a:effectLst/>
            </c:spPr>
          </c:marker>
          <c:dPt>
            <c:idx val="0"/>
            <c:marker>
              <c:symbol val="squar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3813-1448-AF25-7B26E7D36081}"/>
              </c:ext>
            </c:extLst>
          </c:dPt>
          <c:dPt>
            <c:idx val="1"/>
            <c:marker>
              <c:symbol val="x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813-1448-AF25-7B26E7D36081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813-1448-AF25-7B26E7D36081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3813-1448-AF25-7B26E7D36081}"/>
              </c:ext>
            </c:extLst>
          </c:dPt>
          <c:dPt>
            <c:idx val="4"/>
            <c:marker>
              <c:symbol val="diamond"/>
              <c:size val="5"/>
              <c:spPr>
                <a:solidFill>
                  <a:schemeClr val="tx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3813-1448-AF25-7B26E7D36081}"/>
              </c:ext>
            </c:extLst>
          </c:dPt>
          <c:xVal>
            <c:numRef>
              <c:f>Sheet1!$S$46:$S$51</c:f>
              <c:numCache>
                <c:formatCode>General</c:formatCode>
                <c:ptCount val="6"/>
                <c:pt idx="0">
                  <c:v>58</c:v>
                </c:pt>
                <c:pt idx="1">
                  <c:v>183</c:v>
                </c:pt>
                <c:pt idx="2">
                  <c:v>381</c:v>
                </c:pt>
                <c:pt idx="3">
                  <c:v>594</c:v>
                </c:pt>
                <c:pt idx="4">
                  <c:v>735</c:v>
                </c:pt>
                <c:pt idx="5">
                  <c:v>834</c:v>
                </c:pt>
              </c:numCache>
            </c:numRef>
          </c:xVal>
          <c:yVal>
            <c:numRef>
              <c:f>Sheet1!$T$46:$T$51</c:f>
              <c:numCache>
                <c:formatCode>General</c:formatCode>
                <c:ptCount val="6"/>
                <c:pt idx="0">
                  <c:v>60</c:v>
                </c:pt>
                <c:pt idx="1">
                  <c:v>93</c:v>
                </c:pt>
                <c:pt idx="2">
                  <c:v>103</c:v>
                </c:pt>
                <c:pt idx="3">
                  <c:v>157</c:v>
                </c:pt>
                <c:pt idx="4">
                  <c:v>105</c:v>
                </c:pt>
                <c:pt idx="5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AA7-CF4C-95A8-8A3DC853F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377968"/>
        <c:axId val="1444826864"/>
      </c:scatterChart>
      <c:valAx>
        <c:axId val="142537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826864"/>
        <c:crosses val="autoZero"/>
        <c:crossBetween val="midCat"/>
      </c:valAx>
      <c:valAx>
        <c:axId val="144482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  <a:r>
                  <a:rPr lang="en-US" baseline="0"/>
                  <a:t> 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377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784966512952116"/>
          <c:y val="0.14651148330583325"/>
          <c:w val="0.15903519775156638"/>
          <c:h val="0.215970803640775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Cummulative</a:t>
            </a:r>
            <a:r>
              <a:rPr lang="en-US" baseline="0"/>
              <a:t> time vs average concentration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Sheet1!$J$55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Sheet1!$G$56:$G$61</c:f>
                <c:numCache>
                  <c:formatCode>General</c:formatCode>
                  <c:ptCount val="6"/>
                  <c:pt idx="0">
                    <c:v>5.4772255750516612</c:v>
                  </c:pt>
                  <c:pt idx="1">
                    <c:v>10.801234497346433</c:v>
                  </c:pt>
                  <c:pt idx="2">
                    <c:v>50.73131840063558</c:v>
                  </c:pt>
                  <c:pt idx="3">
                    <c:v>26.36127209879422</c:v>
                  </c:pt>
                  <c:pt idx="4">
                    <c:v>40.443376054264647</c:v>
                  </c:pt>
                  <c:pt idx="5">
                    <c:v>52.848052628896994</c:v>
                  </c:pt>
                </c:numCache>
              </c:numRef>
            </c:plus>
            <c:minus>
              <c:numRef>
                <c:f>Sheet1!$G$56:$G$61</c:f>
                <c:numCache>
                  <c:formatCode>General</c:formatCode>
                  <c:ptCount val="6"/>
                  <c:pt idx="0">
                    <c:v>5.4772255750516612</c:v>
                  </c:pt>
                  <c:pt idx="1">
                    <c:v>10.801234497346433</c:v>
                  </c:pt>
                  <c:pt idx="2">
                    <c:v>50.73131840063558</c:v>
                  </c:pt>
                  <c:pt idx="3">
                    <c:v>26.36127209879422</c:v>
                  </c:pt>
                  <c:pt idx="4">
                    <c:v>40.443376054264647</c:v>
                  </c:pt>
                  <c:pt idx="5">
                    <c:v>52.848052628896994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Sheet1!$I$56:$I$61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  <c:pt idx="5">
                  <c:v>21</c:v>
                </c:pt>
              </c:numCache>
            </c:numRef>
          </c:xVal>
          <c:yVal>
            <c:numRef>
              <c:f>Sheet1!$J$56:$J$61</c:f>
              <c:numCache>
                <c:formatCode>General</c:formatCode>
                <c:ptCount val="6"/>
                <c:pt idx="0">
                  <c:v>59</c:v>
                </c:pt>
                <c:pt idx="1">
                  <c:v>190</c:v>
                </c:pt>
                <c:pt idx="2">
                  <c:v>361.5</c:v>
                </c:pt>
                <c:pt idx="3">
                  <c:v>590.25</c:v>
                </c:pt>
                <c:pt idx="4">
                  <c:v>729.5</c:v>
                </c:pt>
                <c:pt idx="5">
                  <c:v>788.75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B1-0743-A129-210B65CA3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027568"/>
        <c:axId val="1424356048"/>
      </c:scatterChart>
      <c:valAx>
        <c:axId val="137002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Cummulative time for spraying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356048"/>
        <c:crosses val="autoZero"/>
        <c:crossBetween val="midCat"/>
      </c:valAx>
      <c:valAx>
        <c:axId val="142435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</a:t>
                </a:r>
                <a:r>
                  <a:rPr lang="en-US" baseline="0"/>
                  <a:t> Concentration(ppm)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02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Cummulative</a:t>
            </a:r>
            <a:r>
              <a:rPr lang="en-US" baseline="0"/>
              <a:t> time vs average response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Sheet1!$J$64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Sheet1!$G$65:$G$70</c:f>
                <c:numCache>
                  <c:formatCode>General</c:formatCode>
                  <c:ptCount val="6"/>
                  <c:pt idx="0">
                    <c:v>9.574271077563381</c:v>
                  </c:pt>
                  <c:pt idx="1">
                    <c:v>13.696106502701172</c:v>
                  </c:pt>
                  <c:pt idx="2">
                    <c:v>18.565200420859092</c:v>
                  </c:pt>
                  <c:pt idx="3">
                    <c:v>21.654483754332883</c:v>
                  </c:pt>
                  <c:pt idx="4">
                    <c:v>10.754843869934453</c:v>
                  </c:pt>
                  <c:pt idx="5">
                    <c:v>19.102792117035317</c:v>
                  </c:pt>
                </c:numCache>
              </c:numRef>
            </c:plus>
            <c:minus>
              <c:numRef>
                <c:f>Sheet1!$G$65:$G$70</c:f>
                <c:numCache>
                  <c:formatCode>General</c:formatCode>
                  <c:ptCount val="6"/>
                  <c:pt idx="0">
                    <c:v>9.574271077563381</c:v>
                  </c:pt>
                  <c:pt idx="1">
                    <c:v>13.696106502701172</c:v>
                  </c:pt>
                  <c:pt idx="2">
                    <c:v>18.565200420859092</c:v>
                  </c:pt>
                  <c:pt idx="3">
                    <c:v>21.654483754332883</c:v>
                  </c:pt>
                  <c:pt idx="4">
                    <c:v>10.754843869934453</c:v>
                  </c:pt>
                  <c:pt idx="5">
                    <c:v>19.102792117035317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Sheet1!$I$65:$I$70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15</c:v>
                </c:pt>
                <c:pt idx="5">
                  <c:v>21</c:v>
                </c:pt>
              </c:numCache>
            </c:numRef>
          </c:xVal>
          <c:yVal>
            <c:numRef>
              <c:f>Sheet1!$J$65:$J$70</c:f>
              <c:numCache>
                <c:formatCode>General</c:formatCode>
                <c:ptCount val="6"/>
                <c:pt idx="0">
                  <c:v>67.5</c:v>
                </c:pt>
                <c:pt idx="1">
                  <c:v>90.25</c:v>
                </c:pt>
                <c:pt idx="2">
                  <c:v>111</c:v>
                </c:pt>
                <c:pt idx="3">
                  <c:v>134.25</c:v>
                </c:pt>
                <c:pt idx="4">
                  <c:v>106.5</c:v>
                </c:pt>
                <c:pt idx="5">
                  <c:v>77.25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FB-B748-B4F5-F31C5E3A5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10688"/>
        <c:axId val="1369985408"/>
      </c:scatterChart>
      <c:valAx>
        <c:axId val="137511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Cummulative time for</a:t>
                </a:r>
                <a:r>
                  <a:rPr lang="en-US" baseline="0"/>
                  <a:t> spraying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985408"/>
        <c:crosses val="autoZero"/>
        <c:crossBetween val="midCat"/>
      </c:valAx>
      <c:valAx>
        <c:axId val="136998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  <a:r>
                  <a:rPr lang="en-US" baseline="0"/>
                  <a:t> time (s)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11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 vs Settling time (fan 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325026116080057E-2"/>
          <c:y val="4.8954504199854927E-2"/>
          <c:w val="0.84037146088397552"/>
          <c:h val="0.7904231334713927"/>
        </c:manualLayout>
      </c:layout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Sheet1!$B$120:$B$125</c:f>
              <c:numCache>
                <c:formatCode>General</c:formatCode>
                <c:ptCount val="6"/>
                <c:pt idx="0">
                  <c:v>45</c:v>
                </c:pt>
                <c:pt idx="1">
                  <c:v>118</c:v>
                </c:pt>
                <c:pt idx="2">
                  <c:v>209</c:v>
                </c:pt>
                <c:pt idx="3">
                  <c:v>306</c:v>
                </c:pt>
                <c:pt idx="4">
                  <c:v>364</c:v>
                </c:pt>
                <c:pt idx="5">
                  <c:v>377</c:v>
                </c:pt>
              </c:numCache>
            </c:numRef>
          </c:xVal>
          <c:yVal>
            <c:numRef>
              <c:f>Sheet1!$C$120:$C$125</c:f>
              <c:numCache>
                <c:formatCode>General</c:formatCode>
                <c:ptCount val="6"/>
                <c:pt idx="0">
                  <c:v>89</c:v>
                </c:pt>
                <c:pt idx="1">
                  <c:v>87</c:v>
                </c:pt>
                <c:pt idx="2">
                  <c:v>117</c:v>
                </c:pt>
                <c:pt idx="3">
                  <c:v>150</c:v>
                </c:pt>
                <c:pt idx="4">
                  <c:v>120</c:v>
                </c:pt>
                <c:pt idx="5">
                  <c:v>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E3-0940-84F7-FB5625AFA703}"/>
            </c:ext>
          </c:extLst>
        </c:ser>
        <c:ser>
          <c:idx val="1"/>
          <c:order val="1"/>
          <c:tx>
            <c:v>Test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Sheet1!$F$120:$F$125</c:f>
              <c:numCache>
                <c:formatCode>General</c:formatCode>
                <c:ptCount val="6"/>
                <c:pt idx="0">
                  <c:v>52</c:v>
                </c:pt>
                <c:pt idx="1">
                  <c:v>130</c:v>
                </c:pt>
                <c:pt idx="2">
                  <c:v>247</c:v>
                </c:pt>
                <c:pt idx="3">
                  <c:v>369</c:v>
                </c:pt>
                <c:pt idx="4">
                  <c:v>468</c:v>
                </c:pt>
                <c:pt idx="5">
                  <c:v>530</c:v>
                </c:pt>
              </c:numCache>
            </c:numRef>
          </c:xVal>
          <c:yVal>
            <c:numRef>
              <c:f>Sheet1!$G$120:$G$125</c:f>
              <c:numCache>
                <c:formatCode>General</c:formatCode>
                <c:ptCount val="6"/>
                <c:pt idx="0">
                  <c:v>60</c:v>
                </c:pt>
                <c:pt idx="1">
                  <c:v>71</c:v>
                </c:pt>
                <c:pt idx="2">
                  <c:v>100</c:v>
                </c:pt>
                <c:pt idx="3">
                  <c:v>132</c:v>
                </c:pt>
                <c:pt idx="4">
                  <c:v>119</c:v>
                </c:pt>
                <c:pt idx="5">
                  <c:v>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E3-0940-84F7-FB5625AFA703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Sheet1!$N$120:$N$125</c:f>
              <c:numCache>
                <c:formatCode>General</c:formatCode>
                <c:ptCount val="6"/>
                <c:pt idx="0">
                  <c:v>122</c:v>
                </c:pt>
                <c:pt idx="1">
                  <c:v>296</c:v>
                </c:pt>
                <c:pt idx="2">
                  <c:v>492</c:v>
                </c:pt>
                <c:pt idx="3">
                  <c:v>636</c:v>
                </c:pt>
                <c:pt idx="4">
                  <c:v>704</c:v>
                </c:pt>
                <c:pt idx="5">
                  <c:v>710</c:v>
                </c:pt>
              </c:numCache>
            </c:numRef>
          </c:xVal>
          <c:yVal>
            <c:numRef>
              <c:f>Sheet1!$O$120:$O$125</c:f>
              <c:numCache>
                <c:formatCode>General</c:formatCode>
                <c:ptCount val="6"/>
                <c:pt idx="0">
                  <c:v>90</c:v>
                </c:pt>
                <c:pt idx="1">
                  <c:v>140</c:v>
                </c:pt>
                <c:pt idx="2">
                  <c:v>143</c:v>
                </c:pt>
                <c:pt idx="3">
                  <c:v>106</c:v>
                </c:pt>
                <c:pt idx="4">
                  <c:v>77</c:v>
                </c:pt>
                <c:pt idx="5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AF-B041-BA7C-345D02731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490832"/>
        <c:axId val="1385232016"/>
      </c:scatterChart>
      <c:valAx>
        <c:axId val="144449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5232016"/>
        <c:crosses val="autoZero"/>
        <c:crossBetween val="midCat"/>
      </c:valAx>
      <c:valAx>
        <c:axId val="13852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Settling 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490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401759185081414"/>
          <c:y val="7.2145504460483331E-2"/>
          <c:w val="8.4614588186571416E-2"/>
          <c:h val="0.17291200674283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437180</xdr:colOff>
      <xdr:row>59</xdr:row>
      <xdr:rowOff>36193</xdr:rowOff>
    </xdr:from>
    <xdr:to>
      <xdr:col>20</xdr:col>
      <xdr:colOff>704893</xdr:colOff>
      <xdr:row>74</xdr:row>
      <xdr:rowOff>1250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6268461-64E1-3447-8701-F9D8CECC8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635000</xdr:colOff>
      <xdr:row>138</xdr:row>
      <xdr:rowOff>8468</xdr:rowOff>
    </xdr:from>
    <xdr:to>
      <xdr:col>16</xdr:col>
      <xdr:colOff>254000</xdr:colOff>
      <xdr:row>151</xdr:row>
      <xdr:rowOff>110068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50D5ACC-9347-BC44-8B8E-E028DCC37F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141</xdr:row>
      <xdr:rowOff>152400</xdr:rowOff>
    </xdr:from>
    <xdr:to>
      <xdr:col>9</xdr:col>
      <xdr:colOff>444500</xdr:colOff>
      <xdr:row>155</xdr:row>
      <xdr:rowOff>50800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65C6547-980C-F344-B143-BA8B8316D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575734</xdr:colOff>
      <xdr:row>88</xdr:row>
      <xdr:rowOff>76200</xdr:rowOff>
    </xdr:from>
    <xdr:to>
      <xdr:col>21</xdr:col>
      <xdr:colOff>169334</xdr:colOff>
      <xdr:row>101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C2DD06-FFC1-014A-AAE5-C830DE1666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230626</xdr:colOff>
      <xdr:row>13</xdr:row>
      <xdr:rowOff>81063</xdr:rowOff>
    </xdr:from>
    <xdr:to>
      <xdr:col>11</xdr:col>
      <xdr:colOff>632604</xdr:colOff>
      <xdr:row>26</xdr:row>
      <xdr:rowOff>117706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89307758-35BA-FA47-B66F-EBB8002A61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305538</xdr:colOff>
      <xdr:row>44</xdr:row>
      <xdr:rowOff>504687</xdr:rowOff>
    </xdr:from>
    <xdr:to>
      <xdr:col>26</xdr:col>
      <xdr:colOff>442618</xdr:colOff>
      <xdr:row>59</xdr:row>
      <xdr:rowOff>176170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18743DC-968C-0F4C-9750-C35FE2C88B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381001</xdr:colOff>
      <xdr:row>52</xdr:row>
      <xdr:rowOff>76200</xdr:rowOff>
    </xdr:from>
    <xdr:to>
      <xdr:col>15</xdr:col>
      <xdr:colOff>804334</xdr:colOff>
      <xdr:row>63</xdr:row>
      <xdr:rowOff>25400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BDBF3F11-75AF-4144-B020-012E2AFDF5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376767</xdr:colOff>
      <xdr:row>59</xdr:row>
      <xdr:rowOff>76199</xdr:rowOff>
    </xdr:from>
    <xdr:to>
      <xdr:col>5</xdr:col>
      <xdr:colOff>821266</xdr:colOff>
      <xdr:row>69</xdr:row>
      <xdr:rowOff>63499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1395124F-E345-234A-AC81-291E2658A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61099</xdr:colOff>
      <xdr:row>125</xdr:row>
      <xdr:rowOff>141009</xdr:rowOff>
    </xdr:from>
    <xdr:to>
      <xdr:col>16</xdr:col>
      <xdr:colOff>410819</xdr:colOff>
      <xdr:row>144</xdr:row>
      <xdr:rowOff>12516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536EED0E-D91F-C043-BC51-97A28E7CCE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193802</xdr:colOff>
      <xdr:row>216</xdr:row>
      <xdr:rowOff>112871</xdr:rowOff>
    </xdr:from>
    <xdr:to>
      <xdr:col>34</xdr:col>
      <xdr:colOff>679911</xdr:colOff>
      <xdr:row>242</xdr:row>
      <xdr:rowOff>63316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62CB475E-34D6-9B4A-875F-7FC016996D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609600</xdr:colOff>
      <xdr:row>144</xdr:row>
      <xdr:rowOff>101600</xdr:rowOff>
    </xdr:from>
    <xdr:to>
      <xdr:col>31</xdr:col>
      <xdr:colOff>457200</xdr:colOff>
      <xdr:row>162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C8020C-C3FC-E74D-B517-E72D467BFF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130707</xdr:colOff>
      <xdr:row>218</xdr:row>
      <xdr:rowOff>202628</xdr:rowOff>
    </xdr:from>
    <xdr:to>
      <xdr:col>21</xdr:col>
      <xdr:colOff>144391</xdr:colOff>
      <xdr:row>240</xdr:row>
      <xdr:rowOff>90674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0EF0BB-CF09-534B-A21F-DA7FAA518A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16932</xdr:colOff>
      <xdr:row>155</xdr:row>
      <xdr:rowOff>67733</xdr:rowOff>
    </xdr:from>
    <xdr:to>
      <xdr:col>33</xdr:col>
      <xdr:colOff>186266</xdr:colOff>
      <xdr:row>178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15D541D-5D65-BA41-9C6D-41660D832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465667</xdr:colOff>
      <xdr:row>92</xdr:row>
      <xdr:rowOff>59670</xdr:rowOff>
    </xdr:from>
    <xdr:to>
      <xdr:col>18</xdr:col>
      <xdr:colOff>78619</xdr:colOff>
      <xdr:row>105</xdr:row>
      <xdr:rowOff>182235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149D0B5-DF17-6C45-8425-CA4284F8B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737810</xdr:colOff>
      <xdr:row>244</xdr:row>
      <xdr:rowOff>59670</xdr:rowOff>
    </xdr:from>
    <xdr:to>
      <xdr:col>14</xdr:col>
      <xdr:colOff>350762</xdr:colOff>
      <xdr:row>257</xdr:row>
      <xdr:rowOff>61283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2AE2FF5F-C4BA-904C-9194-87BFF6F923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117441</xdr:colOff>
      <xdr:row>244</xdr:row>
      <xdr:rowOff>48615</xdr:rowOff>
    </xdr:from>
    <xdr:to>
      <xdr:col>5</xdr:col>
      <xdr:colOff>592667</xdr:colOff>
      <xdr:row>257</xdr:row>
      <xdr:rowOff>46976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75ED99A-D9F7-5F49-9915-C359DA219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349401</xdr:colOff>
      <xdr:row>268</xdr:row>
      <xdr:rowOff>85669</xdr:rowOff>
    </xdr:from>
    <xdr:to>
      <xdr:col>6</xdr:col>
      <xdr:colOff>800463</xdr:colOff>
      <xdr:row>281</xdr:row>
      <xdr:rowOff>151572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23B4776E-1B8E-064D-A077-D1B7EFFB4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171722</xdr:colOff>
      <xdr:row>259</xdr:row>
      <xdr:rowOff>54376</xdr:rowOff>
    </xdr:from>
    <xdr:to>
      <xdr:col>14</xdr:col>
      <xdr:colOff>507796</xdr:colOff>
      <xdr:row>279</xdr:row>
      <xdr:rowOff>155974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A155F0E-76FB-CC4B-B00A-11E9CD3DD9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191435</xdr:colOff>
      <xdr:row>8</xdr:row>
      <xdr:rowOff>102926</xdr:rowOff>
    </xdr:from>
    <xdr:to>
      <xdr:col>17</xdr:col>
      <xdr:colOff>594367</xdr:colOff>
      <xdr:row>22</xdr:row>
      <xdr:rowOff>31045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77B9EF7D-C313-9249-AC35-31E0638D50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21</xdr:col>
      <xdr:colOff>44363</xdr:colOff>
      <xdr:row>249</xdr:row>
      <xdr:rowOff>165923</xdr:rowOff>
    </xdr:from>
    <xdr:to>
      <xdr:col>29</xdr:col>
      <xdr:colOff>190013</xdr:colOff>
      <xdr:row>267</xdr:row>
      <xdr:rowOff>149411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B86775-ECDC-6549-A0C8-A180F2F38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787400</xdr:colOff>
      <xdr:row>99</xdr:row>
      <xdr:rowOff>76200</xdr:rowOff>
    </xdr:from>
    <xdr:to>
      <xdr:col>12</xdr:col>
      <xdr:colOff>381000</xdr:colOff>
      <xdr:row>112</xdr:row>
      <xdr:rowOff>177800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4CD0B2A-EE84-2748-A203-13146717E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32563</xdr:colOff>
      <xdr:row>375</xdr:row>
      <xdr:rowOff>65128</xdr:rowOff>
    </xdr:from>
    <xdr:to>
      <xdr:col>8</xdr:col>
      <xdr:colOff>709740</xdr:colOff>
      <xdr:row>393</xdr:row>
      <xdr:rowOff>116960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417F114-37D5-C847-9C7B-B3B7759DDC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28</xdr:col>
      <xdr:colOff>792356</xdr:colOff>
      <xdr:row>371</xdr:row>
      <xdr:rowOff>167463</xdr:rowOff>
    </xdr:from>
    <xdr:to>
      <xdr:col>40</xdr:col>
      <xdr:colOff>665356</xdr:colOff>
      <xdr:row>402</xdr:row>
      <xdr:rowOff>34074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E3C721D-28FD-514A-9EDF-9FE1AAB3F7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37</xdr:col>
      <xdr:colOff>660400</xdr:colOff>
      <xdr:row>355</xdr:row>
      <xdr:rowOff>177800</xdr:rowOff>
    </xdr:from>
    <xdr:to>
      <xdr:col>46</xdr:col>
      <xdr:colOff>18567</xdr:colOff>
      <xdr:row>373</xdr:row>
      <xdr:rowOff>110900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B54E296C-D742-2546-993C-1BB5885E5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14</xdr:col>
      <xdr:colOff>19081</xdr:colOff>
      <xdr:row>421</xdr:row>
      <xdr:rowOff>77191</xdr:rowOff>
    </xdr:from>
    <xdr:to>
      <xdr:col>21</xdr:col>
      <xdr:colOff>263291</xdr:colOff>
      <xdr:row>443</xdr:row>
      <xdr:rowOff>46464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63CAE287-2413-D545-A1DB-15270743EE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18</xdr:col>
      <xdr:colOff>114611</xdr:colOff>
      <xdr:row>345</xdr:row>
      <xdr:rowOff>161692</xdr:rowOff>
    </xdr:from>
    <xdr:to>
      <xdr:col>27</xdr:col>
      <xdr:colOff>340732</xdr:colOff>
      <xdr:row>370</xdr:row>
      <xdr:rowOff>30975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B7F7D77-0582-9D4C-AB3D-89A5B924B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714145</xdr:colOff>
      <xdr:row>353</xdr:row>
      <xdr:rowOff>36443</xdr:rowOff>
    </xdr:from>
    <xdr:to>
      <xdr:col>13</xdr:col>
      <xdr:colOff>316580</xdr:colOff>
      <xdr:row>366</xdr:row>
      <xdr:rowOff>147614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5936F68-E006-1148-A160-6DDBAE9D17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4038</xdr:colOff>
      <xdr:row>212</xdr:row>
      <xdr:rowOff>63754</xdr:rowOff>
    </xdr:from>
    <xdr:to>
      <xdr:col>20</xdr:col>
      <xdr:colOff>275613</xdr:colOff>
      <xdr:row>225</xdr:row>
      <xdr:rowOff>174925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4CF384-0D6E-934B-B748-FD038373F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441739</xdr:colOff>
      <xdr:row>221</xdr:row>
      <xdr:rowOff>165652</xdr:rowOff>
    </xdr:from>
    <xdr:to>
      <xdr:col>32</xdr:col>
      <xdr:colOff>73624</xdr:colOff>
      <xdr:row>245</xdr:row>
      <xdr:rowOff>-1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BE27DEC7-2123-4E4E-949F-D9B8897501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14</xdr:col>
      <xdr:colOff>521244</xdr:colOff>
      <xdr:row>116</xdr:row>
      <xdr:rowOff>67386</xdr:rowOff>
    </xdr:from>
    <xdr:to>
      <xdr:col>23</xdr:col>
      <xdr:colOff>742123</xdr:colOff>
      <xdr:row>134</xdr:row>
      <xdr:rowOff>141357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D4517319-44AE-0B41-B0D5-63BB5C24C8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9780-B26A-B348-9BF6-C7B52D36E2D2}">
  <dimension ref="A1:AO452"/>
  <sheetViews>
    <sheetView tabSelected="1" topLeftCell="C1" zoomScale="75" zoomScaleNormal="50" workbookViewId="0">
      <selection activeCell="T12" sqref="T12"/>
    </sheetView>
  </sheetViews>
  <sheetFormatPr baseColWidth="10" defaultRowHeight="16" x14ac:dyDescent="0.2"/>
  <cols>
    <col min="19" max="19" width="12.6640625" bestFit="1" customWidth="1"/>
    <col min="20" max="20" width="12" bestFit="1" customWidth="1"/>
  </cols>
  <sheetData>
    <row r="1" spans="1:22" ht="52" thickBot="1" x14ac:dyDescent="0.25">
      <c r="A1" s="2" t="s">
        <v>31</v>
      </c>
      <c r="B1" s="3" t="s">
        <v>32</v>
      </c>
      <c r="C1" s="3" t="s">
        <v>33</v>
      </c>
      <c r="D1" s="3" t="s">
        <v>34</v>
      </c>
      <c r="E1" s="3" t="s">
        <v>35</v>
      </c>
      <c r="G1" s="2" t="s">
        <v>31</v>
      </c>
      <c r="H1" s="3" t="s">
        <v>32</v>
      </c>
      <c r="I1" s="3" t="s">
        <v>36</v>
      </c>
      <c r="J1" s="3" t="s">
        <v>37</v>
      </c>
      <c r="K1" s="3" t="s">
        <v>38</v>
      </c>
      <c r="M1" s="2" t="s">
        <v>31</v>
      </c>
      <c r="N1" s="3" t="s">
        <v>32</v>
      </c>
      <c r="O1" s="3" t="s">
        <v>33</v>
      </c>
      <c r="P1" s="3" t="s">
        <v>34</v>
      </c>
      <c r="Q1" s="3" t="s">
        <v>35</v>
      </c>
      <c r="R1" s="2"/>
      <c r="S1" s="3" t="s">
        <v>7</v>
      </c>
      <c r="T1" s="3" t="s">
        <v>6</v>
      </c>
      <c r="U1" s="3"/>
      <c r="V1" s="3"/>
    </row>
    <row r="2" spans="1:22" ht="17" thickBot="1" x14ac:dyDescent="0.25">
      <c r="A2" s="4">
        <v>5</v>
      </c>
      <c r="B2" s="5">
        <v>57</v>
      </c>
      <c r="C2" s="5">
        <v>57</v>
      </c>
      <c r="D2" s="5">
        <v>57</v>
      </c>
      <c r="E2" s="5">
        <v>43</v>
      </c>
      <c r="G2" s="4">
        <v>5</v>
      </c>
      <c r="H2" s="5">
        <v>54</v>
      </c>
      <c r="I2" s="5">
        <v>54</v>
      </c>
      <c r="J2" s="5">
        <v>54</v>
      </c>
      <c r="K2" s="5">
        <v>45</v>
      </c>
      <c r="M2" s="4">
        <v>5</v>
      </c>
      <c r="N2" s="5">
        <v>60</v>
      </c>
      <c r="O2" s="5">
        <v>60</v>
      </c>
      <c r="P2" s="5">
        <v>60</v>
      </c>
      <c r="Q2" s="5">
        <v>51</v>
      </c>
      <c r="R2" s="4"/>
      <c r="S2" s="5">
        <f>AVERAGE(E2,K2,Q2)</f>
        <v>46.333333333333336</v>
      </c>
      <c r="T2" s="5">
        <f>STDEV(E2,K2,Q2)</f>
        <v>4.1633319989322661</v>
      </c>
      <c r="U2" s="5"/>
      <c r="V2" s="5"/>
    </row>
    <row r="3" spans="1:22" ht="17" thickBot="1" x14ac:dyDescent="0.25">
      <c r="A3" s="4">
        <v>10</v>
      </c>
      <c r="B3" s="5">
        <v>93</v>
      </c>
      <c r="C3" s="5">
        <v>93</v>
      </c>
      <c r="D3" s="5">
        <v>93</v>
      </c>
      <c r="E3" s="5">
        <v>72</v>
      </c>
      <c r="G3" s="4">
        <v>10</v>
      </c>
      <c r="H3" s="5">
        <v>94</v>
      </c>
      <c r="I3" s="5">
        <v>94</v>
      </c>
      <c r="J3" s="5">
        <v>94</v>
      </c>
      <c r="K3" s="5">
        <v>74</v>
      </c>
      <c r="M3" s="4">
        <v>10</v>
      </c>
      <c r="N3" s="5">
        <v>112</v>
      </c>
      <c r="O3" s="5">
        <v>112</v>
      </c>
      <c r="P3" s="5">
        <v>112</v>
      </c>
      <c r="Q3" s="5">
        <v>85</v>
      </c>
      <c r="R3" s="4"/>
      <c r="S3" s="5">
        <f t="shared" ref="S3:S12" si="0">AVERAGE(E3,K3,Q3)</f>
        <v>77</v>
      </c>
      <c r="T3" s="5">
        <f t="shared" ref="T3:T12" si="1">STDEV(E3,K3,Q3)</f>
        <v>7</v>
      </c>
      <c r="U3" s="5"/>
      <c r="V3" s="5"/>
    </row>
    <row r="4" spans="1:22" ht="17" thickBot="1" x14ac:dyDescent="0.25">
      <c r="A4" s="4">
        <v>20</v>
      </c>
      <c r="B4" s="5">
        <v>156</v>
      </c>
      <c r="C4" s="5">
        <v>156</v>
      </c>
      <c r="D4" s="5">
        <v>156</v>
      </c>
      <c r="E4" s="5">
        <v>115</v>
      </c>
      <c r="G4" s="4">
        <v>20</v>
      </c>
      <c r="H4" s="5">
        <v>160</v>
      </c>
      <c r="I4" s="5">
        <v>160</v>
      </c>
      <c r="J4" s="5">
        <v>160</v>
      </c>
      <c r="K4" s="5">
        <v>110</v>
      </c>
      <c r="M4" s="4">
        <v>20</v>
      </c>
      <c r="N4" s="5">
        <v>180</v>
      </c>
      <c r="O4" s="5">
        <v>180</v>
      </c>
      <c r="P4" s="5">
        <v>180</v>
      </c>
      <c r="Q4" s="5">
        <v>127</v>
      </c>
      <c r="R4" s="4"/>
      <c r="S4" s="5">
        <f t="shared" si="0"/>
        <v>117.33333333333333</v>
      </c>
      <c r="T4" s="5">
        <f t="shared" si="1"/>
        <v>8.7368949480541058</v>
      </c>
      <c r="U4" s="5"/>
      <c r="V4" s="5"/>
    </row>
    <row r="5" spans="1:22" ht="17" thickBot="1" x14ac:dyDescent="0.25">
      <c r="A5" s="4">
        <v>30</v>
      </c>
      <c r="B5" s="5">
        <v>203</v>
      </c>
      <c r="C5" s="5">
        <v>203</v>
      </c>
      <c r="D5" s="5">
        <v>203</v>
      </c>
      <c r="E5" s="5">
        <v>170</v>
      </c>
      <c r="G5" s="4">
        <v>30</v>
      </c>
      <c r="H5" s="5">
        <v>205</v>
      </c>
      <c r="I5" s="5">
        <v>205</v>
      </c>
      <c r="J5" s="5">
        <v>205</v>
      </c>
      <c r="K5" s="5">
        <v>165</v>
      </c>
      <c r="M5" s="4">
        <v>30</v>
      </c>
      <c r="N5" s="5">
        <v>209</v>
      </c>
      <c r="O5" s="5">
        <v>209</v>
      </c>
      <c r="P5" s="5">
        <v>209</v>
      </c>
      <c r="Q5" s="5">
        <v>182</v>
      </c>
      <c r="R5" s="4"/>
      <c r="S5" s="5">
        <f t="shared" si="0"/>
        <v>172.33333333333334</v>
      </c>
      <c r="T5" s="5">
        <f t="shared" si="1"/>
        <v>8.736894948054104</v>
      </c>
      <c r="U5" s="5"/>
      <c r="V5" s="5"/>
    </row>
    <row r="6" spans="1:22" ht="17" thickBot="1" x14ac:dyDescent="0.25">
      <c r="A6" s="4">
        <v>40</v>
      </c>
      <c r="B6" s="5">
        <v>234</v>
      </c>
      <c r="C6" s="5">
        <v>234</v>
      </c>
      <c r="D6" s="5">
        <v>234</v>
      </c>
      <c r="E6" s="5">
        <v>196</v>
      </c>
      <c r="G6" s="4">
        <v>40</v>
      </c>
      <c r="H6" s="5">
        <v>252</v>
      </c>
      <c r="I6" s="5">
        <v>252</v>
      </c>
      <c r="J6" s="5">
        <v>252</v>
      </c>
      <c r="K6" s="5">
        <v>218</v>
      </c>
      <c r="M6" s="4">
        <v>40</v>
      </c>
      <c r="N6" s="5">
        <v>278</v>
      </c>
      <c r="O6" s="5">
        <v>278</v>
      </c>
      <c r="P6" s="5">
        <v>278</v>
      </c>
      <c r="Q6" s="5">
        <v>211</v>
      </c>
      <c r="R6" s="4"/>
      <c r="S6" s="5">
        <f t="shared" si="0"/>
        <v>208.33333333333334</v>
      </c>
      <c r="T6" s="5">
        <f t="shared" si="1"/>
        <v>11.239810200058244</v>
      </c>
      <c r="U6" s="5"/>
      <c r="V6" s="5"/>
    </row>
    <row r="7" spans="1:22" ht="17" thickBot="1" x14ac:dyDescent="0.25">
      <c r="A7" s="4">
        <v>50</v>
      </c>
      <c r="B7" s="5">
        <v>270</v>
      </c>
      <c r="C7" s="5">
        <v>270</v>
      </c>
      <c r="D7" s="5">
        <v>270</v>
      </c>
      <c r="E7" s="5">
        <v>215</v>
      </c>
      <c r="G7" s="4">
        <v>50</v>
      </c>
      <c r="H7" s="5">
        <v>290</v>
      </c>
      <c r="I7" s="5">
        <v>290</v>
      </c>
      <c r="J7" s="5">
        <v>290</v>
      </c>
      <c r="K7" s="5">
        <v>230</v>
      </c>
      <c r="M7" s="4">
        <v>50</v>
      </c>
      <c r="N7" s="5">
        <v>317</v>
      </c>
      <c r="O7" s="5">
        <v>317</v>
      </c>
      <c r="P7" s="5">
        <v>317</v>
      </c>
      <c r="Q7" s="5">
        <v>227</v>
      </c>
      <c r="R7" s="4"/>
      <c r="S7" s="5">
        <f t="shared" si="0"/>
        <v>224</v>
      </c>
      <c r="T7" s="5">
        <f t="shared" si="1"/>
        <v>7.9372539331937721</v>
      </c>
      <c r="U7" s="5"/>
      <c r="V7" s="5"/>
    </row>
    <row r="8" spans="1:22" ht="17" thickBot="1" x14ac:dyDescent="0.25">
      <c r="A8" s="4">
        <v>60</v>
      </c>
      <c r="B8" s="5">
        <v>315</v>
      </c>
      <c r="C8" s="5">
        <v>315</v>
      </c>
      <c r="D8" s="5">
        <v>315</v>
      </c>
      <c r="E8" s="5">
        <v>234</v>
      </c>
      <c r="G8" s="4">
        <v>60</v>
      </c>
      <c r="H8" s="5">
        <v>330</v>
      </c>
      <c r="I8" s="5">
        <v>330</v>
      </c>
      <c r="J8" s="5">
        <v>330</v>
      </c>
      <c r="K8" s="5">
        <v>265</v>
      </c>
      <c r="M8" s="4">
        <v>60</v>
      </c>
      <c r="N8" s="5">
        <v>343</v>
      </c>
      <c r="O8" s="5">
        <v>343</v>
      </c>
      <c r="P8" s="5">
        <v>343</v>
      </c>
      <c r="Q8" s="5">
        <v>261</v>
      </c>
      <c r="R8" s="4"/>
      <c r="S8" s="5">
        <f t="shared" si="0"/>
        <v>253.33333333333334</v>
      </c>
      <c r="T8" s="5">
        <f t="shared" si="1"/>
        <v>16.862186493255653</v>
      </c>
      <c r="U8" s="5"/>
      <c r="V8" s="5"/>
    </row>
    <row r="9" spans="1:22" ht="17" thickBot="1" x14ac:dyDescent="0.25">
      <c r="A9" s="4">
        <v>70</v>
      </c>
      <c r="B9" s="5">
        <v>343</v>
      </c>
      <c r="C9" s="5">
        <v>343</v>
      </c>
      <c r="D9" s="5">
        <v>343</v>
      </c>
      <c r="E9" s="5">
        <v>275</v>
      </c>
      <c r="G9" s="4">
        <v>70</v>
      </c>
      <c r="H9" s="5">
        <v>366</v>
      </c>
      <c r="I9" s="5">
        <v>366</v>
      </c>
      <c r="J9" s="5">
        <v>366</v>
      </c>
      <c r="K9" s="5">
        <v>290</v>
      </c>
      <c r="M9" s="4">
        <v>70</v>
      </c>
      <c r="N9" s="5">
        <v>360</v>
      </c>
      <c r="O9" s="5">
        <v>360</v>
      </c>
      <c r="P9" s="5">
        <v>360</v>
      </c>
      <c r="Q9" s="5">
        <v>284</v>
      </c>
      <c r="R9" s="4"/>
      <c r="S9" s="5">
        <f t="shared" si="0"/>
        <v>283</v>
      </c>
      <c r="T9" s="5">
        <f t="shared" si="1"/>
        <v>7.5498344352707498</v>
      </c>
      <c r="U9" s="5"/>
      <c r="V9" s="5"/>
    </row>
    <row r="10" spans="1:22" ht="17" thickBot="1" x14ac:dyDescent="0.25">
      <c r="A10" s="4">
        <v>80</v>
      </c>
      <c r="B10" s="5">
        <v>371</v>
      </c>
      <c r="C10" s="5">
        <v>371</v>
      </c>
      <c r="D10" s="5">
        <v>371</v>
      </c>
      <c r="E10" s="5">
        <v>300</v>
      </c>
      <c r="G10" s="4">
        <v>80</v>
      </c>
      <c r="H10" s="5">
        <v>392</v>
      </c>
      <c r="I10" s="5">
        <v>392</v>
      </c>
      <c r="J10" s="5">
        <v>392</v>
      </c>
      <c r="K10" s="5">
        <v>313</v>
      </c>
      <c r="M10" s="4">
        <v>80</v>
      </c>
      <c r="N10" s="5">
        <v>388</v>
      </c>
      <c r="O10" s="5">
        <v>388</v>
      </c>
      <c r="P10" s="5">
        <v>388</v>
      </c>
      <c r="Q10" s="5">
        <v>318</v>
      </c>
      <c r="R10" s="4"/>
      <c r="S10" s="5">
        <f t="shared" si="0"/>
        <v>310.33333333333331</v>
      </c>
      <c r="T10" s="5">
        <f t="shared" si="1"/>
        <v>9.2915732431775702</v>
      </c>
      <c r="U10" s="5"/>
      <c r="V10" s="5"/>
    </row>
    <row r="11" spans="1:22" ht="17" thickBot="1" x14ac:dyDescent="0.25">
      <c r="A11" s="4">
        <v>90</v>
      </c>
      <c r="B11" s="5">
        <v>406</v>
      </c>
      <c r="C11" s="5">
        <v>406</v>
      </c>
      <c r="D11" s="5">
        <v>406</v>
      </c>
      <c r="E11" s="5">
        <v>324</v>
      </c>
      <c r="G11" s="4">
        <v>90</v>
      </c>
      <c r="H11" s="5">
        <v>419</v>
      </c>
      <c r="I11" s="5">
        <v>419</v>
      </c>
      <c r="J11" s="5">
        <v>419</v>
      </c>
      <c r="K11" s="5">
        <v>336</v>
      </c>
      <c r="M11" s="4">
        <v>90</v>
      </c>
      <c r="N11" s="5">
        <v>418</v>
      </c>
      <c r="O11" s="5">
        <v>418</v>
      </c>
      <c r="P11" s="5">
        <v>418</v>
      </c>
      <c r="Q11" s="5">
        <v>335</v>
      </c>
      <c r="R11" s="4"/>
      <c r="S11" s="5">
        <f t="shared" si="0"/>
        <v>331.66666666666669</v>
      </c>
      <c r="T11" s="5">
        <f t="shared" si="1"/>
        <v>6.6583281184793934</v>
      </c>
      <c r="U11" s="5"/>
      <c r="V11" s="5"/>
    </row>
    <row r="12" spans="1:22" ht="17" thickBot="1" x14ac:dyDescent="0.25">
      <c r="A12" s="4">
        <v>100</v>
      </c>
      <c r="B12" s="5"/>
      <c r="C12" s="5"/>
      <c r="D12" s="5"/>
      <c r="E12" s="5">
        <v>379</v>
      </c>
      <c r="G12" s="4">
        <v>100</v>
      </c>
      <c r="H12" s="5">
        <v>441</v>
      </c>
      <c r="I12" s="5">
        <v>441</v>
      </c>
      <c r="J12" s="5">
        <v>441</v>
      </c>
      <c r="K12" s="5">
        <v>384</v>
      </c>
      <c r="M12" s="4">
        <v>100</v>
      </c>
      <c r="N12" s="5">
        <v>432</v>
      </c>
      <c r="O12" s="5">
        <v>432</v>
      </c>
      <c r="P12" s="5">
        <v>432</v>
      </c>
      <c r="Q12" s="5">
        <v>374</v>
      </c>
      <c r="R12" s="4"/>
      <c r="S12" s="5">
        <f t="shared" si="0"/>
        <v>379</v>
      </c>
      <c r="T12" s="5">
        <f t="shared" si="1"/>
        <v>5</v>
      </c>
      <c r="U12" s="5"/>
      <c r="V12" s="5"/>
    </row>
    <row r="15" spans="1:22" x14ac:dyDescent="0.2">
      <c r="A15" s="21" t="s">
        <v>39</v>
      </c>
      <c r="B15" s="21"/>
      <c r="C15" s="21"/>
      <c r="G15" s="21"/>
      <c r="H15" s="21"/>
      <c r="I15" s="21"/>
    </row>
    <row r="17" spans="1:7" x14ac:dyDescent="0.2">
      <c r="A17" s="1"/>
      <c r="G17" s="1"/>
    </row>
    <row r="18" spans="1:7" x14ac:dyDescent="0.2">
      <c r="A18" s="1"/>
      <c r="G18" s="1"/>
    </row>
    <row r="19" spans="1:7" x14ac:dyDescent="0.2">
      <c r="A19" s="1"/>
      <c r="G19" s="1"/>
    </row>
    <row r="20" spans="1:7" x14ac:dyDescent="0.2">
      <c r="A20" s="1"/>
      <c r="G20" s="1"/>
    </row>
    <row r="21" spans="1:7" x14ac:dyDescent="0.2">
      <c r="A21" s="1"/>
      <c r="G21" s="1"/>
    </row>
    <row r="22" spans="1:7" x14ac:dyDescent="0.2">
      <c r="A22" s="1"/>
      <c r="G22" s="1"/>
    </row>
    <row r="23" spans="1:7" x14ac:dyDescent="0.2">
      <c r="A23" s="1"/>
      <c r="G23" s="1"/>
    </row>
    <row r="24" spans="1:7" x14ac:dyDescent="0.2">
      <c r="A24" s="1"/>
      <c r="G24" s="1"/>
    </row>
    <row r="25" spans="1:7" x14ac:dyDescent="0.2">
      <c r="A25" s="1"/>
      <c r="G25" s="1"/>
    </row>
    <row r="26" spans="1:7" x14ac:dyDescent="0.2">
      <c r="A26" s="1"/>
      <c r="G26" s="1"/>
    </row>
    <row r="27" spans="1:7" x14ac:dyDescent="0.2">
      <c r="A27" s="1"/>
      <c r="G27" s="1"/>
    </row>
    <row r="43" spans="1:20" x14ac:dyDescent="0.2">
      <c r="A43" t="s">
        <v>40</v>
      </c>
    </row>
    <row r="44" spans="1:20" ht="17" thickBot="1" x14ac:dyDescent="0.25"/>
    <row r="45" spans="1:20" ht="69" thickBot="1" x14ac:dyDescent="0.25">
      <c r="A45" s="2" t="s">
        <v>0</v>
      </c>
      <c r="B45" s="3" t="s">
        <v>1</v>
      </c>
      <c r="C45" s="3" t="s">
        <v>2</v>
      </c>
      <c r="D45" s="3" t="s">
        <v>3</v>
      </c>
      <c r="G45" s="2" t="s">
        <v>0</v>
      </c>
      <c r="H45" s="3" t="s">
        <v>1</v>
      </c>
      <c r="I45" s="3" t="s">
        <v>2</v>
      </c>
      <c r="J45" s="3" t="s">
        <v>3</v>
      </c>
      <c r="L45" s="2" t="s">
        <v>0</v>
      </c>
      <c r="M45" s="3" t="s">
        <v>1</v>
      </c>
      <c r="N45" s="3" t="s">
        <v>2</v>
      </c>
      <c r="O45" s="3" t="s">
        <v>3</v>
      </c>
      <c r="Q45" s="2" t="s">
        <v>0</v>
      </c>
      <c r="R45" s="3" t="s">
        <v>1</v>
      </c>
      <c r="S45" s="3" t="s">
        <v>2</v>
      </c>
      <c r="T45" s="3" t="s">
        <v>3</v>
      </c>
    </row>
    <row r="46" spans="1:20" ht="17" thickBot="1" x14ac:dyDescent="0.25">
      <c r="A46" s="4">
        <v>1</v>
      </c>
      <c r="B46" s="5">
        <v>21.6</v>
      </c>
      <c r="C46" s="5">
        <v>67</v>
      </c>
      <c r="D46" s="5">
        <v>70</v>
      </c>
      <c r="G46" s="4">
        <v>1</v>
      </c>
      <c r="H46" s="5">
        <v>22.1</v>
      </c>
      <c r="I46" s="5">
        <v>56</v>
      </c>
      <c r="J46" s="5">
        <v>60</v>
      </c>
      <c r="L46" s="4">
        <v>1</v>
      </c>
      <c r="M46" s="5">
        <v>22.2</v>
      </c>
      <c r="N46" s="5">
        <v>55</v>
      </c>
      <c r="O46" s="5">
        <v>80</v>
      </c>
      <c r="Q46" s="4">
        <v>1</v>
      </c>
      <c r="R46" s="5">
        <v>21.9</v>
      </c>
      <c r="S46" s="5">
        <v>58</v>
      </c>
      <c r="T46" s="5">
        <v>60</v>
      </c>
    </row>
    <row r="47" spans="1:20" ht="17" thickBot="1" x14ac:dyDescent="0.25">
      <c r="A47" s="4">
        <v>2</v>
      </c>
      <c r="B47" s="5">
        <v>22.5</v>
      </c>
      <c r="C47" s="5">
        <v>196</v>
      </c>
      <c r="D47" s="5">
        <v>87</v>
      </c>
      <c r="G47" s="4">
        <v>2</v>
      </c>
      <c r="H47" s="5">
        <v>22.2</v>
      </c>
      <c r="I47" s="5">
        <v>179</v>
      </c>
      <c r="J47" s="5">
        <v>74</v>
      </c>
      <c r="L47" s="4">
        <v>2</v>
      </c>
      <c r="M47" s="5">
        <v>22.2</v>
      </c>
      <c r="N47" s="5">
        <v>202</v>
      </c>
      <c r="O47" s="5">
        <v>107</v>
      </c>
      <c r="Q47" s="4">
        <v>2</v>
      </c>
      <c r="R47" s="5">
        <v>21.9</v>
      </c>
      <c r="S47" s="5">
        <v>183</v>
      </c>
      <c r="T47" s="5">
        <v>93</v>
      </c>
    </row>
    <row r="48" spans="1:20" ht="17" thickBot="1" x14ac:dyDescent="0.25">
      <c r="A48" s="4">
        <v>3</v>
      </c>
      <c r="B48" s="5">
        <v>22.5</v>
      </c>
      <c r="C48" s="5">
        <v>373</v>
      </c>
      <c r="D48" s="5">
        <v>96</v>
      </c>
      <c r="G48" s="4">
        <v>3</v>
      </c>
      <c r="H48" s="5">
        <v>22.1</v>
      </c>
      <c r="I48" s="5">
        <v>404</v>
      </c>
      <c r="J48" s="5">
        <v>107</v>
      </c>
      <c r="L48" s="4">
        <v>3</v>
      </c>
      <c r="M48" s="5">
        <v>22.1</v>
      </c>
      <c r="N48" s="5">
        <v>288</v>
      </c>
      <c r="O48" s="5">
        <v>138</v>
      </c>
      <c r="Q48" s="4">
        <v>3</v>
      </c>
      <c r="R48" s="5">
        <v>22</v>
      </c>
      <c r="S48" s="5">
        <v>381</v>
      </c>
      <c r="T48" s="5">
        <v>103</v>
      </c>
    </row>
    <row r="49" spans="1:20" ht="17" thickBot="1" x14ac:dyDescent="0.25">
      <c r="A49" s="4">
        <v>4</v>
      </c>
      <c r="B49" s="5">
        <v>22.4</v>
      </c>
      <c r="C49" s="5">
        <v>605</v>
      </c>
      <c r="D49" s="5">
        <v>105</v>
      </c>
      <c r="G49" s="4">
        <v>4</v>
      </c>
      <c r="H49" s="5">
        <v>22.1</v>
      </c>
      <c r="I49" s="5">
        <v>610</v>
      </c>
      <c r="J49" s="5">
        <v>140</v>
      </c>
      <c r="L49" s="4">
        <v>4</v>
      </c>
      <c r="M49" s="5">
        <v>22.2</v>
      </c>
      <c r="N49" s="5">
        <v>552</v>
      </c>
      <c r="O49" s="5">
        <v>135</v>
      </c>
      <c r="Q49" s="4">
        <v>4</v>
      </c>
      <c r="R49" s="5">
        <v>22</v>
      </c>
      <c r="S49" s="5">
        <v>594</v>
      </c>
      <c r="T49" s="5">
        <v>157</v>
      </c>
    </row>
    <row r="50" spans="1:20" ht="17" thickBot="1" x14ac:dyDescent="0.25">
      <c r="A50" s="4">
        <v>5</v>
      </c>
      <c r="B50" s="5">
        <v>22.5</v>
      </c>
      <c r="C50" s="5">
        <v>761</v>
      </c>
      <c r="D50" s="5">
        <v>95</v>
      </c>
      <c r="G50" s="4">
        <v>5</v>
      </c>
      <c r="H50" s="5">
        <v>22.1</v>
      </c>
      <c r="I50" s="5">
        <v>751</v>
      </c>
      <c r="J50" s="5">
        <v>105</v>
      </c>
      <c r="L50" s="4">
        <v>5</v>
      </c>
      <c r="M50" s="5">
        <v>22.1</v>
      </c>
      <c r="N50" s="5">
        <v>671</v>
      </c>
      <c r="O50" s="5">
        <v>121</v>
      </c>
      <c r="Q50" s="4">
        <v>5</v>
      </c>
      <c r="R50" s="5">
        <v>22</v>
      </c>
      <c r="S50" s="5">
        <v>735</v>
      </c>
      <c r="T50" s="5">
        <v>105</v>
      </c>
    </row>
    <row r="51" spans="1:20" ht="18" thickBot="1" x14ac:dyDescent="0.25">
      <c r="A51" s="4" t="s">
        <v>4</v>
      </c>
      <c r="B51" s="5">
        <v>22.5</v>
      </c>
      <c r="C51" s="5">
        <v>812</v>
      </c>
      <c r="D51" s="5">
        <v>60</v>
      </c>
      <c r="G51" s="4" t="s">
        <v>4</v>
      </c>
      <c r="H51" s="5">
        <v>22.1</v>
      </c>
      <c r="I51" s="5">
        <v>796</v>
      </c>
      <c r="J51" s="5">
        <v>66</v>
      </c>
      <c r="L51" s="4" t="s">
        <v>4</v>
      </c>
      <c r="M51" s="5">
        <v>22.1</v>
      </c>
      <c r="N51" s="5">
        <v>713</v>
      </c>
      <c r="O51" s="5">
        <v>80</v>
      </c>
      <c r="Q51" s="4" t="s">
        <v>4</v>
      </c>
      <c r="R51" s="5">
        <v>22.1</v>
      </c>
      <c r="S51" s="5">
        <v>834</v>
      </c>
      <c r="T51" s="5">
        <v>103</v>
      </c>
    </row>
    <row r="54" spans="1:20" ht="17" thickBot="1" x14ac:dyDescent="0.25">
      <c r="A54" s="7" t="s">
        <v>41</v>
      </c>
      <c r="B54" s="7"/>
      <c r="C54" s="7"/>
      <c r="D54" s="7"/>
      <c r="E54" s="7"/>
      <c r="F54" s="7"/>
      <c r="G54" s="7"/>
      <c r="H54" s="7"/>
      <c r="I54" s="7"/>
      <c r="J54" s="7"/>
    </row>
    <row r="55" spans="1:20" ht="52" thickBot="1" x14ac:dyDescent="0.25">
      <c r="A55" s="8" t="s">
        <v>0</v>
      </c>
      <c r="B55" s="9" t="s">
        <v>2</v>
      </c>
      <c r="C55" s="9" t="s">
        <v>2</v>
      </c>
      <c r="D55" s="9" t="s">
        <v>2</v>
      </c>
      <c r="E55" s="9" t="s">
        <v>2</v>
      </c>
      <c r="F55" s="7"/>
      <c r="G55" s="10" t="s">
        <v>6</v>
      </c>
      <c r="H55" s="7"/>
      <c r="I55" s="8" t="s">
        <v>43</v>
      </c>
      <c r="J55" s="10" t="s">
        <v>5</v>
      </c>
    </row>
    <row r="56" spans="1:20" ht="17" thickBot="1" x14ac:dyDescent="0.25">
      <c r="A56" s="11">
        <v>1</v>
      </c>
      <c r="B56" s="12">
        <v>67</v>
      </c>
      <c r="C56" s="12">
        <v>56</v>
      </c>
      <c r="D56" s="12">
        <v>55</v>
      </c>
      <c r="E56" s="12">
        <v>58</v>
      </c>
      <c r="F56" s="7"/>
      <c r="G56" s="7">
        <f t="shared" ref="G56:G61" si="2">STDEV(B56:E56)</f>
        <v>5.4772255750516612</v>
      </c>
      <c r="H56" s="7"/>
      <c r="I56" s="11">
        <v>1</v>
      </c>
      <c r="J56" s="7">
        <f t="shared" ref="J56:J61" si="3">AVERAGE(B56:E56)</f>
        <v>59</v>
      </c>
    </row>
    <row r="57" spans="1:20" ht="17" thickBot="1" x14ac:dyDescent="0.25">
      <c r="A57" s="11">
        <v>2</v>
      </c>
      <c r="B57" s="12">
        <v>196</v>
      </c>
      <c r="C57" s="12">
        <v>179</v>
      </c>
      <c r="D57" s="12">
        <v>202</v>
      </c>
      <c r="E57" s="12">
        <v>183</v>
      </c>
      <c r="F57" s="7"/>
      <c r="G57" s="7">
        <f t="shared" si="2"/>
        <v>10.801234497346433</v>
      </c>
      <c r="H57" s="7"/>
      <c r="I57" s="11">
        <v>3</v>
      </c>
      <c r="J57" s="7">
        <f t="shared" si="3"/>
        <v>190</v>
      </c>
    </row>
    <row r="58" spans="1:20" ht="17" thickBot="1" x14ac:dyDescent="0.25">
      <c r="A58" s="11">
        <v>3</v>
      </c>
      <c r="B58" s="12">
        <v>373</v>
      </c>
      <c r="C58" s="12">
        <v>404</v>
      </c>
      <c r="D58" s="12">
        <v>288</v>
      </c>
      <c r="E58" s="12">
        <v>381</v>
      </c>
      <c r="F58" s="7"/>
      <c r="G58" s="7">
        <f t="shared" si="2"/>
        <v>50.73131840063558</v>
      </c>
      <c r="H58" s="7"/>
      <c r="I58" s="11">
        <v>6</v>
      </c>
      <c r="J58" s="7">
        <f t="shared" si="3"/>
        <v>361.5</v>
      </c>
    </row>
    <row r="59" spans="1:20" ht="17" thickBot="1" x14ac:dyDescent="0.25">
      <c r="A59" s="11">
        <v>4</v>
      </c>
      <c r="B59" s="12">
        <v>605</v>
      </c>
      <c r="C59" s="12">
        <v>610</v>
      </c>
      <c r="D59" s="12">
        <v>552</v>
      </c>
      <c r="E59" s="12">
        <v>594</v>
      </c>
      <c r="F59" s="7"/>
      <c r="G59" s="7">
        <f t="shared" si="2"/>
        <v>26.36127209879422</v>
      </c>
      <c r="H59" s="7"/>
      <c r="I59" s="11">
        <v>10</v>
      </c>
      <c r="J59" s="7">
        <f t="shared" si="3"/>
        <v>590.25</v>
      </c>
    </row>
    <row r="60" spans="1:20" ht="17" thickBot="1" x14ac:dyDescent="0.25">
      <c r="A60" s="11">
        <v>5</v>
      </c>
      <c r="B60" s="12">
        <v>761</v>
      </c>
      <c r="C60" s="12">
        <v>751</v>
      </c>
      <c r="D60" s="12">
        <v>671</v>
      </c>
      <c r="E60" s="12">
        <v>735</v>
      </c>
      <c r="F60" s="7"/>
      <c r="G60" s="7">
        <f t="shared" si="2"/>
        <v>40.443376054264647</v>
      </c>
      <c r="H60" s="7"/>
      <c r="I60" s="11">
        <v>15</v>
      </c>
      <c r="J60" s="7">
        <f t="shared" si="3"/>
        <v>729.5</v>
      </c>
    </row>
    <row r="61" spans="1:20" ht="18" thickBot="1" x14ac:dyDescent="0.25">
      <c r="A61" s="11" t="s">
        <v>4</v>
      </c>
      <c r="B61" s="12">
        <v>812</v>
      </c>
      <c r="C61" s="12">
        <v>796</v>
      </c>
      <c r="D61" s="12">
        <v>713</v>
      </c>
      <c r="E61" s="12">
        <v>834</v>
      </c>
      <c r="F61" s="7"/>
      <c r="G61" s="7">
        <f t="shared" si="2"/>
        <v>52.848052628896994</v>
      </c>
      <c r="H61" s="7"/>
      <c r="I61" s="11">
        <v>21</v>
      </c>
      <c r="J61" s="7">
        <f t="shared" si="3"/>
        <v>788.75</v>
      </c>
    </row>
    <row r="62" spans="1:20" x14ac:dyDescent="0.2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20" ht="17" thickBot="1" x14ac:dyDescent="0.25">
      <c r="A63" s="7" t="s">
        <v>42</v>
      </c>
      <c r="B63" s="7"/>
      <c r="C63" s="7"/>
      <c r="D63" s="7"/>
      <c r="E63" s="7"/>
      <c r="F63" s="7"/>
      <c r="G63" s="7"/>
      <c r="H63" s="7"/>
      <c r="I63" s="7"/>
      <c r="J63" s="7"/>
    </row>
    <row r="64" spans="1:20" ht="69" thickBot="1" x14ac:dyDescent="0.25">
      <c r="A64" s="8" t="s">
        <v>0</v>
      </c>
      <c r="B64" s="9" t="s">
        <v>3</v>
      </c>
      <c r="C64" s="9" t="s">
        <v>3</v>
      </c>
      <c r="D64" s="9" t="s">
        <v>3</v>
      </c>
      <c r="E64" s="9" t="s">
        <v>3</v>
      </c>
      <c r="F64" s="7"/>
      <c r="G64" s="10" t="s">
        <v>6</v>
      </c>
      <c r="H64" s="7"/>
      <c r="I64" s="8" t="s">
        <v>44</v>
      </c>
      <c r="J64" s="10" t="s">
        <v>7</v>
      </c>
    </row>
    <row r="65" spans="1:10" ht="17" thickBot="1" x14ac:dyDescent="0.25">
      <c r="A65" s="11">
        <v>1</v>
      </c>
      <c r="B65" s="12">
        <v>70</v>
      </c>
      <c r="C65" s="12">
        <v>60</v>
      </c>
      <c r="D65" s="12">
        <v>80</v>
      </c>
      <c r="E65" s="12">
        <v>60</v>
      </c>
      <c r="F65" s="7"/>
      <c r="G65" s="7">
        <f t="shared" ref="G65:G70" si="4">STDEV(B65:E65)</f>
        <v>9.574271077563381</v>
      </c>
      <c r="H65" s="7"/>
      <c r="I65" s="11">
        <v>1</v>
      </c>
      <c r="J65" s="7">
        <f t="shared" ref="J65:J70" si="5">AVERAGE(B65:E65)</f>
        <v>67.5</v>
      </c>
    </row>
    <row r="66" spans="1:10" ht="17" thickBot="1" x14ac:dyDescent="0.25">
      <c r="A66" s="11">
        <v>2</v>
      </c>
      <c r="B66" s="12">
        <v>87</v>
      </c>
      <c r="C66" s="12">
        <v>74</v>
      </c>
      <c r="D66" s="12">
        <v>107</v>
      </c>
      <c r="E66" s="12">
        <v>93</v>
      </c>
      <c r="F66" s="7"/>
      <c r="G66" s="7">
        <f t="shared" si="4"/>
        <v>13.696106502701172</v>
      </c>
      <c r="H66" s="7"/>
      <c r="I66" s="11">
        <v>3</v>
      </c>
      <c r="J66" s="7">
        <f t="shared" si="5"/>
        <v>90.25</v>
      </c>
    </row>
    <row r="67" spans="1:10" ht="17" thickBot="1" x14ac:dyDescent="0.25">
      <c r="A67" s="11">
        <v>3</v>
      </c>
      <c r="B67" s="12">
        <v>96</v>
      </c>
      <c r="C67" s="12">
        <v>107</v>
      </c>
      <c r="D67" s="12">
        <v>138</v>
      </c>
      <c r="E67" s="12">
        <v>103</v>
      </c>
      <c r="F67" s="7"/>
      <c r="G67" s="7">
        <f t="shared" si="4"/>
        <v>18.565200420859092</v>
      </c>
      <c r="H67" s="7"/>
      <c r="I67" s="11">
        <v>6</v>
      </c>
      <c r="J67" s="7">
        <f t="shared" si="5"/>
        <v>111</v>
      </c>
    </row>
    <row r="68" spans="1:10" ht="17" thickBot="1" x14ac:dyDescent="0.25">
      <c r="A68" s="11">
        <v>4</v>
      </c>
      <c r="B68" s="12">
        <v>105</v>
      </c>
      <c r="C68" s="12">
        <v>140</v>
      </c>
      <c r="D68" s="12">
        <v>135</v>
      </c>
      <c r="E68" s="12">
        <v>157</v>
      </c>
      <c r="F68" s="7"/>
      <c r="G68" s="7">
        <f t="shared" si="4"/>
        <v>21.654483754332883</v>
      </c>
      <c r="H68" s="7"/>
      <c r="I68" s="11">
        <v>10</v>
      </c>
      <c r="J68" s="7">
        <f t="shared" si="5"/>
        <v>134.25</v>
      </c>
    </row>
    <row r="69" spans="1:10" ht="17" thickBot="1" x14ac:dyDescent="0.25">
      <c r="A69" s="11">
        <v>5</v>
      </c>
      <c r="B69" s="12">
        <v>95</v>
      </c>
      <c r="C69" s="12">
        <v>105</v>
      </c>
      <c r="D69" s="12">
        <v>121</v>
      </c>
      <c r="E69" s="12">
        <v>105</v>
      </c>
      <c r="F69" s="7"/>
      <c r="G69" s="7">
        <f t="shared" si="4"/>
        <v>10.754843869934453</v>
      </c>
      <c r="H69" s="7"/>
      <c r="I69" s="11">
        <v>15</v>
      </c>
      <c r="J69" s="7">
        <f t="shared" si="5"/>
        <v>106.5</v>
      </c>
    </row>
    <row r="70" spans="1:10" ht="18" thickBot="1" x14ac:dyDescent="0.25">
      <c r="A70" s="11" t="s">
        <v>4</v>
      </c>
      <c r="B70" s="12">
        <v>60</v>
      </c>
      <c r="C70" s="12">
        <v>66</v>
      </c>
      <c r="D70" s="12">
        <v>80</v>
      </c>
      <c r="E70" s="12">
        <v>103</v>
      </c>
      <c r="F70" s="7"/>
      <c r="G70" s="7">
        <f t="shared" si="4"/>
        <v>19.102792117035317</v>
      </c>
      <c r="H70" s="7"/>
      <c r="I70" s="11">
        <v>21</v>
      </c>
      <c r="J70" s="7">
        <f t="shared" si="5"/>
        <v>77.25</v>
      </c>
    </row>
    <row r="74" spans="1:10" x14ac:dyDescent="0.2">
      <c r="A74" s="6"/>
    </row>
    <row r="75" spans="1:10" x14ac:dyDescent="0.2">
      <c r="G75" s="6"/>
    </row>
    <row r="94" spans="23:25" x14ac:dyDescent="0.2">
      <c r="W94">
        <v>1</v>
      </c>
      <c r="X94">
        <v>37</v>
      </c>
      <c r="Y94">
        <v>59</v>
      </c>
    </row>
    <row r="95" spans="23:25" x14ac:dyDescent="0.2">
      <c r="W95">
        <v>2</v>
      </c>
      <c r="X95">
        <v>106</v>
      </c>
      <c r="Y95">
        <v>190</v>
      </c>
    </row>
    <row r="96" spans="23:25" x14ac:dyDescent="0.2">
      <c r="W96">
        <v>3</v>
      </c>
      <c r="X96">
        <v>208</v>
      </c>
      <c r="Y96">
        <v>361.5</v>
      </c>
    </row>
    <row r="97" spans="13:25" x14ac:dyDescent="0.2">
      <c r="W97">
        <v>4</v>
      </c>
      <c r="X97">
        <v>316</v>
      </c>
      <c r="Y97">
        <v>590.25</v>
      </c>
    </row>
    <row r="98" spans="13:25" x14ac:dyDescent="0.2">
      <c r="W98">
        <v>5</v>
      </c>
      <c r="X98">
        <v>493</v>
      </c>
      <c r="Y98">
        <v>729.5</v>
      </c>
    </row>
    <row r="99" spans="13:25" x14ac:dyDescent="0.2">
      <c r="W99">
        <v>6</v>
      </c>
      <c r="X99">
        <v>675</v>
      </c>
      <c r="Y99">
        <v>788.75</v>
      </c>
    </row>
    <row r="104" spans="13:25" x14ac:dyDescent="0.2">
      <c r="M104" t="s">
        <v>16</v>
      </c>
    </row>
    <row r="118" spans="1:18" x14ac:dyDescent="0.2">
      <c r="A118" t="s">
        <v>18</v>
      </c>
      <c r="C118" t="s">
        <v>19</v>
      </c>
      <c r="E118" t="s">
        <v>21</v>
      </c>
      <c r="G118" t="s">
        <v>22</v>
      </c>
      <c r="I118" t="s">
        <v>23</v>
      </c>
      <c r="K118" t="s">
        <v>24</v>
      </c>
    </row>
    <row r="119" spans="1:18" x14ac:dyDescent="0.2">
      <c r="A119" t="s">
        <v>26</v>
      </c>
      <c r="B119" t="s">
        <v>17</v>
      </c>
      <c r="C119" t="s">
        <v>20</v>
      </c>
      <c r="E119" t="s">
        <v>26</v>
      </c>
      <c r="F119" t="s">
        <v>17</v>
      </c>
      <c r="G119" t="s">
        <v>25</v>
      </c>
      <c r="I119" t="s">
        <v>26</v>
      </c>
      <c r="J119" t="s">
        <v>17</v>
      </c>
      <c r="K119" t="s">
        <v>25</v>
      </c>
      <c r="M119" t="s">
        <v>109</v>
      </c>
      <c r="N119" t="s">
        <v>110</v>
      </c>
      <c r="O119" t="s">
        <v>111</v>
      </c>
      <c r="P119" t="s">
        <v>109</v>
      </c>
      <c r="Q119" t="s">
        <v>17</v>
      </c>
      <c r="R119" t="s">
        <v>111</v>
      </c>
    </row>
    <row r="120" spans="1:18" x14ac:dyDescent="0.2">
      <c r="A120">
        <v>1</v>
      </c>
      <c r="B120">
        <v>45</v>
      </c>
      <c r="C120">
        <v>89</v>
      </c>
      <c r="E120">
        <v>1</v>
      </c>
      <c r="F120">
        <v>52</v>
      </c>
      <c r="G120">
        <v>60</v>
      </c>
      <c r="I120">
        <v>1</v>
      </c>
      <c r="J120">
        <v>40</v>
      </c>
      <c r="K120">
        <v>80</v>
      </c>
      <c r="M120">
        <v>1</v>
      </c>
      <c r="N120">
        <v>122</v>
      </c>
      <c r="O120">
        <v>90</v>
      </c>
      <c r="P120">
        <v>1</v>
      </c>
      <c r="Q120">
        <v>44</v>
      </c>
      <c r="R120">
        <v>38</v>
      </c>
    </row>
    <row r="121" spans="1:18" x14ac:dyDescent="0.2">
      <c r="A121">
        <v>3</v>
      </c>
      <c r="B121">
        <v>118</v>
      </c>
      <c r="C121">
        <v>87</v>
      </c>
      <c r="E121">
        <v>3</v>
      </c>
      <c r="F121">
        <v>130</v>
      </c>
      <c r="G121">
        <v>71</v>
      </c>
      <c r="I121">
        <v>3</v>
      </c>
      <c r="J121">
        <v>87</v>
      </c>
      <c r="K121">
        <v>100</v>
      </c>
      <c r="M121">
        <v>3</v>
      </c>
      <c r="N121">
        <v>296</v>
      </c>
      <c r="O121">
        <v>140</v>
      </c>
      <c r="P121">
        <v>3</v>
      </c>
      <c r="Q121">
        <v>123</v>
      </c>
      <c r="R121">
        <v>60</v>
      </c>
    </row>
    <row r="122" spans="1:18" x14ac:dyDescent="0.2">
      <c r="A122">
        <v>6</v>
      </c>
      <c r="B122">
        <v>209</v>
      </c>
      <c r="C122">
        <v>117</v>
      </c>
      <c r="E122">
        <v>6</v>
      </c>
      <c r="F122">
        <v>247</v>
      </c>
      <c r="G122">
        <v>100</v>
      </c>
      <c r="I122">
        <v>6</v>
      </c>
      <c r="J122">
        <v>164</v>
      </c>
      <c r="K122">
        <v>70</v>
      </c>
      <c r="M122">
        <v>6</v>
      </c>
      <c r="N122">
        <v>492</v>
      </c>
      <c r="O122">
        <v>143</v>
      </c>
      <c r="P122">
        <v>6</v>
      </c>
      <c r="Q122">
        <v>220</v>
      </c>
      <c r="R122">
        <v>72</v>
      </c>
    </row>
    <row r="123" spans="1:18" x14ac:dyDescent="0.2">
      <c r="A123">
        <v>10</v>
      </c>
      <c r="B123">
        <v>306</v>
      </c>
      <c r="C123">
        <v>150</v>
      </c>
      <c r="E123">
        <v>10</v>
      </c>
      <c r="F123">
        <v>369</v>
      </c>
      <c r="G123">
        <v>132</v>
      </c>
      <c r="I123">
        <v>10</v>
      </c>
      <c r="J123">
        <v>220</v>
      </c>
      <c r="K123">
        <v>120</v>
      </c>
      <c r="M123">
        <v>10</v>
      </c>
      <c r="N123">
        <v>636</v>
      </c>
      <c r="O123">
        <v>106</v>
      </c>
      <c r="P123">
        <v>10</v>
      </c>
      <c r="Q123">
        <v>304</v>
      </c>
      <c r="R123">
        <v>74</v>
      </c>
    </row>
    <row r="124" spans="1:18" x14ac:dyDescent="0.2">
      <c r="A124">
        <v>15</v>
      </c>
      <c r="B124">
        <v>364</v>
      </c>
      <c r="C124">
        <v>120</v>
      </c>
      <c r="E124">
        <v>15</v>
      </c>
      <c r="F124">
        <v>468</v>
      </c>
      <c r="G124">
        <v>119</v>
      </c>
      <c r="I124">
        <v>15</v>
      </c>
      <c r="J124">
        <v>239</v>
      </c>
      <c r="K124">
        <v>40</v>
      </c>
      <c r="M124">
        <v>15</v>
      </c>
      <c r="N124">
        <v>704</v>
      </c>
      <c r="O124">
        <v>77</v>
      </c>
      <c r="P124">
        <v>15</v>
      </c>
      <c r="Q124">
        <v>352</v>
      </c>
      <c r="R124">
        <v>46</v>
      </c>
    </row>
    <row r="125" spans="1:18" x14ac:dyDescent="0.2">
      <c r="B125">
        <v>377</v>
      </c>
      <c r="C125">
        <v>35</v>
      </c>
      <c r="F125">
        <v>530</v>
      </c>
      <c r="G125">
        <v>91</v>
      </c>
      <c r="M125">
        <v>21</v>
      </c>
      <c r="N125">
        <v>710</v>
      </c>
      <c r="O125">
        <v>26</v>
      </c>
      <c r="P125">
        <v>21</v>
      </c>
      <c r="Q125">
        <v>368</v>
      </c>
      <c r="R125">
        <v>53</v>
      </c>
    </row>
    <row r="128" spans="1:18" x14ac:dyDescent="0.2">
      <c r="A128" s="7" t="s">
        <v>26</v>
      </c>
      <c r="B128" s="7" t="s">
        <v>17</v>
      </c>
      <c r="C128" s="7" t="s">
        <v>17</v>
      </c>
      <c r="D128" s="7" t="s">
        <v>17</v>
      </c>
      <c r="E128" s="7" t="s">
        <v>5</v>
      </c>
      <c r="F128" s="7" t="s">
        <v>27</v>
      </c>
    </row>
    <row r="129" spans="1:6" x14ac:dyDescent="0.2">
      <c r="A129" s="7">
        <v>1</v>
      </c>
      <c r="B129" s="7">
        <v>45</v>
      </c>
      <c r="C129" s="7">
        <v>52</v>
      </c>
      <c r="D129" s="7">
        <v>40</v>
      </c>
      <c r="E129" s="7">
        <f>AVERAGE(B129:D129)</f>
        <v>45.666666666666664</v>
      </c>
      <c r="F129" s="7">
        <f>STDEV(B129:D129)</f>
        <v>6.0277137733417208</v>
      </c>
    </row>
    <row r="130" spans="1:6" x14ac:dyDescent="0.2">
      <c r="A130" s="7">
        <v>3</v>
      </c>
      <c r="B130" s="7">
        <v>118</v>
      </c>
      <c r="C130" s="7">
        <v>130</v>
      </c>
      <c r="D130" s="7">
        <v>87</v>
      </c>
      <c r="E130" s="7">
        <f>AVERAGE(B130:D130)</f>
        <v>111.66666666666667</v>
      </c>
      <c r="F130" s="7">
        <f>STDEV(B130:D130)</f>
        <v>22.188585654190131</v>
      </c>
    </row>
    <row r="131" spans="1:6" x14ac:dyDescent="0.2">
      <c r="A131" s="7">
        <v>6</v>
      </c>
      <c r="B131" s="7">
        <v>209</v>
      </c>
      <c r="C131" s="7">
        <v>247</v>
      </c>
      <c r="D131" s="7">
        <v>164</v>
      </c>
      <c r="E131" s="7">
        <f>AVERAGE(B131:D131)</f>
        <v>206.66666666666666</v>
      </c>
      <c r="F131" s="7">
        <f>STDEV(B131:D131)</f>
        <v>41.549167661137759</v>
      </c>
    </row>
    <row r="132" spans="1:6" x14ac:dyDescent="0.2">
      <c r="A132" s="7">
        <v>10</v>
      </c>
      <c r="B132" s="7">
        <v>306</v>
      </c>
      <c r="C132" s="7">
        <v>369</v>
      </c>
      <c r="D132" s="7">
        <v>220</v>
      </c>
      <c r="E132" s="7">
        <f>AVERAGE(B132:D132)</f>
        <v>298.33333333333331</v>
      </c>
      <c r="F132" s="7">
        <f>STDEV(B132:D132)</f>
        <v>74.795276143171918</v>
      </c>
    </row>
    <row r="133" spans="1:6" x14ac:dyDescent="0.2">
      <c r="A133" s="7">
        <v>15</v>
      </c>
      <c r="B133" s="7">
        <v>364</v>
      </c>
      <c r="C133" s="7">
        <v>468</v>
      </c>
      <c r="D133" s="7">
        <v>239</v>
      </c>
      <c r="E133" s="7">
        <f>AVERAGE(B133:D133)</f>
        <v>357</v>
      </c>
      <c r="F133" s="7">
        <f>STDEV(B133:D133)</f>
        <v>114.66036804406308</v>
      </c>
    </row>
    <row r="134" spans="1:6" x14ac:dyDescent="0.2">
      <c r="A134" s="7"/>
      <c r="B134" s="7"/>
      <c r="C134" s="7"/>
      <c r="D134" s="7"/>
      <c r="E134" s="7"/>
      <c r="F134" s="7"/>
    </row>
    <row r="135" spans="1:6" x14ac:dyDescent="0.2">
      <c r="A135" s="7"/>
      <c r="B135" s="7"/>
      <c r="C135" s="7"/>
      <c r="D135" s="7"/>
      <c r="E135" s="7"/>
      <c r="F135" s="7"/>
    </row>
    <row r="136" spans="1:6" x14ac:dyDescent="0.2">
      <c r="A136" s="7" t="s">
        <v>26</v>
      </c>
      <c r="B136" s="7" t="s">
        <v>20</v>
      </c>
      <c r="C136" s="7" t="s">
        <v>25</v>
      </c>
      <c r="D136" s="7" t="s">
        <v>25</v>
      </c>
      <c r="E136" s="7" t="s">
        <v>5</v>
      </c>
      <c r="F136" s="7" t="s">
        <v>27</v>
      </c>
    </row>
    <row r="137" spans="1:6" x14ac:dyDescent="0.2">
      <c r="A137" s="7">
        <v>1</v>
      </c>
      <c r="B137" s="7">
        <v>89</v>
      </c>
      <c r="C137" s="7">
        <v>60</v>
      </c>
      <c r="D137" s="7">
        <v>80</v>
      </c>
      <c r="E137" s="7">
        <f>AVERAGE(B137:D137)</f>
        <v>76.333333333333329</v>
      </c>
      <c r="F137" s="7">
        <f>STDEV(B137:D137)</f>
        <v>14.8436293854749</v>
      </c>
    </row>
    <row r="138" spans="1:6" x14ac:dyDescent="0.2">
      <c r="A138" s="7">
        <v>3</v>
      </c>
      <c r="B138" s="7">
        <v>87</v>
      </c>
      <c r="C138" s="7">
        <v>71</v>
      </c>
      <c r="D138" s="7">
        <v>100</v>
      </c>
      <c r="E138" s="7">
        <f>AVERAGE(B138:D138)</f>
        <v>86</v>
      </c>
      <c r="F138" s="7">
        <f>STDEV(B138:D138)</f>
        <v>14.52583904633395</v>
      </c>
    </row>
    <row r="139" spans="1:6" x14ac:dyDescent="0.2">
      <c r="A139" s="7">
        <v>6</v>
      </c>
      <c r="B139" s="7">
        <v>117</v>
      </c>
      <c r="C139" s="7">
        <v>100</v>
      </c>
      <c r="D139" s="7">
        <v>70</v>
      </c>
      <c r="E139" s="7">
        <f>AVERAGE(B139:D139)</f>
        <v>95.666666666666671</v>
      </c>
      <c r="F139" s="7">
        <f>STDEV(B139:D139)</f>
        <v>23.797758998135389</v>
      </c>
    </row>
    <row r="140" spans="1:6" x14ac:dyDescent="0.2">
      <c r="A140" s="7">
        <v>10</v>
      </c>
      <c r="B140" s="7">
        <v>150</v>
      </c>
      <c r="C140" s="7">
        <v>132</v>
      </c>
      <c r="D140" s="7">
        <v>120</v>
      </c>
      <c r="E140" s="7">
        <f>AVERAGE(B140:D140)</f>
        <v>134</v>
      </c>
      <c r="F140" s="7">
        <f>STDEV(B140:D140)</f>
        <v>15.0996688705415</v>
      </c>
    </row>
    <row r="141" spans="1:6" x14ac:dyDescent="0.2">
      <c r="A141" s="7">
        <v>15</v>
      </c>
      <c r="B141" s="7">
        <v>120</v>
      </c>
      <c r="C141" s="7">
        <v>119</v>
      </c>
      <c r="D141" s="7">
        <v>40</v>
      </c>
      <c r="E141" s="7">
        <f>AVERAGE(B141:D141)</f>
        <v>93</v>
      </c>
      <c r="F141" s="7">
        <f>STDEV(B141:D141)</f>
        <v>45.902069670114003</v>
      </c>
    </row>
    <row r="217" spans="1:20" x14ac:dyDescent="0.2">
      <c r="A217" t="s">
        <v>45</v>
      </c>
      <c r="B217" t="s">
        <v>11</v>
      </c>
      <c r="C217" t="s">
        <v>45</v>
      </c>
      <c r="D217" t="s">
        <v>11</v>
      </c>
      <c r="E217" t="s">
        <v>17</v>
      </c>
      <c r="F217" t="s">
        <v>11</v>
      </c>
      <c r="G217" t="s">
        <v>50</v>
      </c>
      <c r="H217" t="s">
        <v>51</v>
      </c>
      <c r="I217" t="s">
        <v>52</v>
      </c>
      <c r="J217" t="s">
        <v>53</v>
      </c>
      <c r="K217" t="s">
        <v>58</v>
      </c>
      <c r="L217" t="s">
        <v>54</v>
      </c>
      <c r="M217" t="s">
        <v>55</v>
      </c>
      <c r="N217" t="s">
        <v>56</v>
      </c>
      <c r="O217" t="s">
        <v>57</v>
      </c>
      <c r="P217" t="s">
        <v>59</v>
      </c>
      <c r="Q217" t="s">
        <v>60</v>
      </c>
      <c r="R217" t="s">
        <v>61</v>
      </c>
      <c r="S217" s="20">
        <v>5</v>
      </c>
      <c r="T217" s="20">
        <f>3.5139*S217^-0.842</f>
        <v>0.90626801851852146</v>
      </c>
    </row>
    <row r="218" spans="1:20" x14ac:dyDescent="0.2">
      <c r="A218">
        <v>0</v>
      </c>
      <c r="B218">
        <v>1.5900000000000001E-2</v>
      </c>
      <c r="C218">
        <v>0</v>
      </c>
      <c r="D218">
        <v>1.5800000000000002E-2</v>
      </c>
      <c r="E218">
        <v>0</v>
      </c>
      <c r="F218">
        <v>1.5800000000000002E-2</v>
      </c>
      <c r="G218">
        <f>(820/B218)</f>
        <v>51572.327044025151</v>
      </c>
      <c r="H218">
        <f>(820/D218)</f>
        <v>51898.734177215185</v>
      </c>
      <c r="I218">
        <f>(820/F218)</f>
        <v>51898.734177215185</v>
      </c>
      <c r="J218">
        <f>(5-B218)</f>
        <v>4.9840999999999998</v>
      </c>
      <c r="K218">
        <f>(5-D218)</f>
        <v>4.9842000000000004</v>
      </c>
      <c r="L218">
        <f>(5-F218)</f>
        <v>4.9842000000000004</v>
      </c>
      <c r="M218">
        <f>(G218*J218)</f>
        <v>257041.63522012575</v>
      </c>
      <c r="N218">
        <f>(H218*K218)</f>
        <v>258673.67088607594</v>
      </c>
      <c r="O218">
        <f>(I218*L218)</f>
        <v>258673.67088607594</v>
      </c>
      <c r="S218" s="20">
        <v>7</v>
      </c>
      <c r="T218" s="20">
        <f>3.5139*S218^-0.842</f>
        <v>0.6826794789029148</v>
      </c>
    </row>
    <row r="219" spans="1:20" x14ac:dyDescent="0.2">
      <c r="A219">
        <v>7</v>
      </c>
      <c r="B219">
        <v>1.8100000000000002E-2</v>
      </c>
      <c r="C219">
        <v>5</v>
      </c>
      <c r="D219">
        <v>1.8700000000000001E-2</v>
      </c>
      <c r="E219">
        <v>18</v>
      </c>
      <c r="F219">
        <v>2.12E-2</v>
      </c>
      <c r="G219">
        <f>(820/B219)</f>
        <v>45303.867403314915</v>
      </c>
      <c r="H219">
        <f t="shared" ref="H219:H236" si="6">(820/D219)</f>
        <v>43850.267379679142</v>
      </c>
      <c r="I219">
        <f t="shared" ref="I219:I236" si="7">(820/F219)</f>
        <v>38679.24528301887</v>
      </c>
      <c r="J219">
        <f t="shared" ref="J219:J236" si="8">(5-B219)</f>
        <v>4.9819000000000004</v>
      </c>
      <c r="K219">
        <f t="shared" ref="K219:K236" si="9">(5-D219)</f>
        <v>4.9813000000000001</v>
      </c>
      <c r="L219">
        <f t="shared" ref="L219:L236" si="10">(5-F219)</f>
        <v>4.9787999999999997</v>
      </c>
      <c r="M219">
        <f t="shared" ref="M219:M236" si="11">(G219*J219)</f>
        <v>225699.3370165746</v>
      </c>
      <c r="N219">
        <f t="shared" ref="N219:N236" si="12">(H219*K219)</f>
        <v>218431.3368983957</v>
      </c>
      <c r="O219">
        <f t="shared" ref="O219:O236" si="13">(I219*L219)</f>
        <v>192576.22641509434</v>
      </c>
      <c r="P219">
        <f>(M219/257041.6)</f>
        <v>0.87806540659789933</v>
      </c>
      <c r="Q219">
        <f>(N219/258673.7)</f>
        <v>0.84442808410130488</v>
      </c>
      <c r="R219">
        <f>(O219/258673.7)</f>
        <v>0.74447547785141799</v>
      </c>
      <c r="S219" s="20">
        <v>10</v>
      </c>
      <c r="T219" s="20">
        <f>3.5139*S219^-0.842</f>
        <v>0.50557943241332148</v>
      </c>
    </row>
    <row r="220" spans="1:20" x14ac:dyDescent="0.2">
      <c r="A220">
        <v>10</v>
      </c>
      <c r="B220">
        <v>1.9599999999999999E-2</v>
      </c>
      <c r="C220">
        <v>12</v>
      </c>
      <c r="D220">
        <v>2.0500000000000001E-2</v>
      </c>
      <c r="E220">
        <v>29</v>
      </c>
      <c r="F220">
        <v>2.3900000000000001E-2</v>
      </c>
      <c r="G220">
        <f t="shared" ref="G220:G236" si="14">(820/B220)</f>
        <v>41836.734693877552</v>
      </c>
      <c r="H220">
        <f t="shared" si="6"/>
        <v>40000</v>
      </c>
      <c r="I220">
        <f t="shared" si="7"/>
        <v>34309.62343096234</v>
      </c>
      <c r="J220">
        <f t="shared" si="8"/>
        <v>4.9804000000000004</v>
      </c>
      <c r="K220">
        <f t="shared" si="9"/>
        <v>4.9794999999999998</v>
      </c>
      <c r="L220">
        <f t="shared" si="10"/>
        <v>4.9760999999999997</v>
      </c>
      <c r="M220">
        <f t="shared" si="11"/>
        <v>208363.67346938778</v>
      </c>
      <c r="N220">
        <f t="shared" si="12"/>
        <v>199180</v>
      </c>
      <c r="O220">
        <f t="shared" si="13"/>
        <v>170728.11715481168</v>
      </c>
      <c r="P220">
        <f t="shared" ref="P220:P236" si="15">(M220/257041.6)</f>
        <v>0.81062237968246298</v>
      </c>
      <c r="Q220">
        <f t="shared" ref="Q220:Q236" si="16">(N220/258673.7)</f>
        <v>0.77000483620870619</v>
      </c>
      <c r="R220">
        <f t="shared" ref="R220:R236" si="17">(O220/258673.7)</f>
        <v>0.66001343451155525</v>
      </c>
      <c r="S220" s="20">
        <v>12</v>
      </c>
      <c r="T220" s="20">
        <f>3.5139*S220^-0.842</f>
        <v>0.43362946910647271</v>
      </c>
    </row>
    <row r="221" spans="1:20" x14ac:dyDescent="0.2">
      <c r="A221">
        <v>23</v>
      </c>
      <c r="B221">
        <v>2.2700000000000001E-2</v>
      </c>
      <c r="C221">
        <v>16</v>
      </c>
      <c r="D221">
        <v>2.18E-2</v>
      </c>
      <c r="E221">
        <v>40</v>
      </c>
      <c r="F221">
        <v>2.5999999999999999E-2</v>
      </c>
      <c r="G221">
        <f t="shared" si="14"/>
        <v>36123.348017621145</v>
      </c>
      <c r="H221">
        <f t="shared" si="6"/>
        <v>37614.678899082566</v>
      </c>
      <c r="I221">
        <f t="shared" si="7"/>
        <v>31538.461538461539</v>
      </c>
      <c r="J221">
        <f t="shared" si="8"/>
        <v>4.9772999999999996</v>
      </c>
      <c r="K221">
        <f t="shared" si="9"/>
        <v>4.9782000000000002</v>
      </c>
      <c r="L221">
        <f t="shared" si="10"/>
        <v>4.9740000000000002</v>
      </c>
      <c r="M221">
        <f t="shared" si="11"/>
        <v>179796.74008810573</v>
      </c>
      <c r="N221">
        <f t="shared" si="12"/>
        <v>187253.39449541282</v>
      </c>
      <c r="O221">
        <f t="shared" si="13"/>
        <v>156872.30769230769</v>
      </c>
      <c r="P221">
        <f t="shared" si="15"/>
        <v>0.6994849864306234</v>
      </c>
      <c r="Q221">
        <f t="shared" si="16"/>
        <v>0.72389807891336777</v>
      </c>
      <c r="R221">
        <f t="shared" si="17"/>
        <v>0.60644861728234323</v>
      </c>
      <c r="S221" s="20">
        <v>16</v>
      </c>
      <c r="T221" s="20">
        <f t="shared" ref="T221:T270" si="18">3.5139*S221^-0.842</f>
        <v>0.34034578197467913</v>
      </c>
    </row>
    <row r="222" spans="1:20" x14ac:dyDescent="0.2">
      <c r="A222">
        <v>41</v>
      </c>
      <c r="B222">
        <v>2.6200000000000001E-2</v>
      </c>
      <c r="C222">
        <v>20</v>
      </c>
      <c r="D222">
        <v>2.3E-2</v>
      </c>
      <c r="E222">
        <v>51</v>
      </c>
      <c r="F222">
        <v>2.8400000000000002E-2</v>
      </c>
      <c r="G222">
        <f t="shared" si="14"/>
        <v>31297.709923664122</v>
      </c>
      <c r="H222">
        <f t="shared" si="6"/>
        <v>35652.17391304348</v>
      </c>
      <c r="I222">
        <f t="shared" si="7"/>
        <v>28873.239436619715</v>
      </c>
      <c r="J222">
        <f t="shared" si="8"/>
        <v>4.9737999999999998</v>
      </c>
      <c r="K222">
        <f t="shared" si="9"/>
        <v>4.9770000000000003</v>
      </c>
      <c r="L222">
        <f t="shared" si="10"/>
        <v>4.9715999999999996</v>
      </c>
      <c r="M222">
        <f t="shared" si="11"/>
        <v>155668.5496183206</v>
      </c>
      <c r="N222">
        <f t="shared" si="12"/>
        <v>177440.86956521741</v>
      </c>
      <c r="O222">
        <f t="shared" si="13"/>
        <v>143546.19718309856</v>
      </c>
      <c r="P222">
        <f t="shared" si="15"/>
        <v>0.6056161711501975</v>
      </c>
      <c r="Q222">
        <f t="shared" si="16"/>
        <v>0.68596409130583202</v>
      </c>
      <c r="R222">
        <f t="shared" si="17"/>
        <v>0.55493154960515334</v>
      </c>
      <c r="S222" s="20">
        <v>18</v>
      </c>
      <c r="T222" s="20">
        <f t="shared" si="18"/>
        <v>0.3082122874729577</v>
      </c>
    </row>
    <row r="223" spans="1:20" x14ac:dyDescent="0.2">
      <c r="A223">
        <v>45</v>
      </c>
      <c r="B223">
        <v>2.7099999999999999E-2</v>
      </c>
      <c r="C223">
        <v>27</v>
      </c>
      <c r="D223">
        <v>2.47E-2</v>
      </c>
      <c r="E223">
        <v>63</v>
      </c>
      <c r="F223">
        <v>3.0700000000000002E-2</v>
      </c>
      <c r="G223">
        <f t="shared" si="14"/>
        <v>30258.30258302583</v>
      </c>
      <c r="H223">
        <f t="shared" si="6"/>
        <v>33198.380566801621</v>
      </c>
      <c r="I223">
        <f t="shared" si="7"/>
        <v>26710.097719869704</v>
      </c>
      <c r="J223">
        <f t="shared" si="8"/>
        <v>4.9729000000000001</v>
      </c>
      <c r="K223">
        <f t="shared" si="9"/>
        <v>4.9752999999999998</v>
      </c>
      <c r="L223">
        <f t="shared" si="10"/>
        <v>4.9692999999999996</v>
      </c>
      <c r="M223">
        <f t="shared" si="11"/>
        <v>150471.51291512916</v>
      </c>
      <c r="N223">
        <f t="shared" si="12"/>
        <v>165171.9028340081</v>
      </c>
      <c r="O223">
        <f t="shared" si="13"/>
        <v>132730.48859934852</v>
      </c>
      <c r="P223">
        <f t="shared" si="15"/>
        <v>0.58539751120102412</v>
      </c>
      <c r="Q223">
        <f t="shared" si="16"/>
        <v>0.6385338085549791</v>
      </c>
      <c r="R223">
        <f t="shared" si="17"/>
        <v>0.51311938012773817</v>
      </c>
      <c r="S223" s="20">
        <v>20</v>
      </c>
      <c r="T223" s="20">
        <f t="shared" si="18"/>
        <v>0.28204742665113969</v>
      </c>
    </row>
    <row r="224" spans="1:20" x14ac:dyDescent="0.2">
      <c r="A224">
        <v>52</v>
      </c>
      <c r="B224">
        <v>2.8299999999999999E-2</v>
      </c>
      <c r="C224">
        <v>31</v>
      </c>
      <c r="D224">
        <v>2.58E-2</v>
      </c>
      <c r="E224">
        <v>76</v>
      </c>
      <c r="F224">
        <v>3.3700000000000001E-2</v>
      </c>
      <c r="G224">
        <f t="shared" si="14"/>
        <v>28975.265017667847</v>
      </c>
      <c r="H224">
        <f t="shared" si="6"/>
        <v>31782.945736434107</v>
      </c>
      <c r="I224">
        <f t="shared" si="7"/>
        <v>24332.344213649852</v>
      </c>
      <c r="J224">
        <f t="shared" si="8"/>
        <v>4.9717000000000002</v>
      </c>
      <c r="K224">
        <f t="shared" si="9"/>
        <v>4.9741999999999997</v>
      </c>
      <c r="L224">
        <f t="shared" si="10"/>
        <v>4.9663000000000004</v>
      </c>
      <c r="M224">
        <f t="shared" si="11"/>
        <v>144056.32508833925</v>
      </c>
      <c r="N224">
        <f t="shared" si="12"/>
        <v>158094.72868217053</v>
      </c>
      <c r="O224">
        <f t="shared" si="13"/>
        <v>120841.72106824927</v>
      </c>
      <c r="P224">
        <f t="shared" si="15"/>
        <v>0.56043973072195019</v>
      </c>
      <c r="Q224">
        <f t="shared" si="16"/>
        <v>0.61117434312870045</v>
      </c>
      <c r="R224">
        <f t="shared" si="17"/>
        <v>0.46715889968036667</v>
      </c>
      <c r="S224" s="20">
        <v>23</v>
      </c>
      <c r="T224" s="20">
        <f t="shared" si="18"/>
        <v>0.25073476842558717</v>
      </c>
    </row>
    <row r="225" spans="1:20" x14ac:dyDescent="0.2">
      <c r="A225">
        <v>59</v>
      </c>
      <c r="B225">
        <v>2.9399999999999999E-2</v>
      </c>
      <c r="C225">
        <v>37</v>
      </c>
      <c r="D225">
        <v>2.7300000000000001E-2</v>
      </c>
      <c r="E225">
        <v>89</v>
      </c>
      <c r="F225">
        <v>3.6499999999999998E-2</v>
      </c>
      <c r="G225">
        <f t="shared" si="14"/>
        <v>27891.156462585033</v>
      </c>
      <c r="H225">
        <f t="shared" si="6"/>
        <v>30036.630036630035</v>
      </c>
      <c r="I225">
        <f t="shared" si="7"/>
        <v>22465.753424657534</v>
      </c>
      <c r="J225">
        <f t="shared" si="8"/>
        <v>4.9706000000000001</v>
      </c>
      <c r="K225">
        <f t="shared" si="9"/>
        <v>4.9726999999999997</v>
      </c>
      <c r="L225">
        <f t="shared" si="10"/>
        <v>4.9634999999999998</v>
      </c>
      <c r="M225">
        <f t="shared" si="11"/>
        <v>138635.78231292518</v>
      </c>
      <c r="N225">
        <f t="shared" si="12"/>
        <v>149363.15018315017</v>
      </c>
      <c r="O225">
        <f t="shared" si="13"/>
        <v>111508.76712328766</v>
      </c>
      <c r="P225">
        <f t="shared" si="15"/>
        <v>0.53935153808926328</v>
      </c>
      <c r="Q225">
        <f t="shared" si="16"/>
        <v>0.57741915851186321</v>
      </c>
      <c r="R225">
        <f t="shared" si="17"/>
        <v>0.43107887320314225</v>
      </c>
      <c r="S225" s="20">
        <v>27</v>
      </c>
      <c r="T225" s="20">
        <f t="shared" si="18"/>
        <v>0.21906909220228327</v>
      </c>
    </row>
    <row r="226" spans="1:20" x14ac:dyDescent="0.2">
      <c r="A226">
        <v>63</v>
      </c>
      <c r="B226">
        <v>3.04E-2</v>
      </c>
      <c r="C226">
        <v>42</v>
      </c>
      <c r="D226">
        <v>2.8899999999999999E-2</v>
      </c>
      <c r="E226">
        <v>100</v>
      </c>
      <c r="F226">
        <v>3.73E-2</v>
      </c>
      <c r="G226">
        <f t="shared" si="14"/>
        <v>26973.684210526317</v>
      </c>
      <c r="H226">
        <f t="shared" si="6"/>
        <v>28373.702422145328</v>
      </c>
      <c r="I226">
        <f t="shared" si="7"/>
        <v>21983.914209115283</v>
      </c>
      <c r="J226">
        <f t="shared" si="8"/>
        <v>4.9695999999999998</v>
      </c>
      <c r="K226">
        <f t="shared" si="9"/>
        <v>4.9710999999999999</v>
      </c>
      <c r="L226">
        <f t="shared" si="10"/>
        <v>4.9626999999999999</v>
      </c>
      <c r="M226">
        <f t="shared" si="11"/>
        <v>134048.42105263157</v>
      </c>
      <c r="N226">
        <f t="shared" si="12"/>
        <v>141048.51211072665</v>
      </c>
      <c r="O226">
        <f t="shared" si="13"/>
        <v>109099.57104557641</v>
      </c>
      <c r="P226">
        <f t="shared" si="15"/>
        <v>0.52150477219497382</v>
      </c>
      <c r="Q226">
        <f t="shared" si="16"/>
        <v>0.5452758131604668</v>
      </c>
      <c r="R226">
        <f t="shared" si="17"/>
        <v>0.42176522408569717</v>
      </c>
      <c r="S226" s="20">
        <v>29</v>
      </c>
      <c r="T226" s="20">
        <f t="shared" si="18"/>
        <v>0.20627675167512508</v>
      </c>
    </row>
    <row r="227" spans="1:20" x14ac:dyDescent="0.2">
      <c r="A227">
        <v>69</v>
      </c>
      <c r="B227">
        <v>3.1399999999999997E-2</v>
      </c>
      <c r="C227">
        <v>49</v>
      </c>
      <c r="D227">
        <v>3.0200000000000001E-2</v>
      </c>
      <c r="E227">
        <v>112</v>
      </c>
      <c r="F227">
        <v>3.8800000000000001E-2</v>
      </c>
      <c r="G227">
        <f t="shared" si="14"/>
        <v>26114.649681528666</v>
      </c>
      <c r="H227">
        <f t="shared" si="6"/>
        <v>27152.317880794701</v>
      </c>
      <c r="I227">
        <f t="shared" si="7"/>
        <v>21134.0206185567</v>
      </c>
      <c r="J227">
        <f t="shared" si="8"/>
        <v>4.9686000000000003</v>
      </c>
      <c r="K227">
        <f t="shared" si="9"/>
        <v>4.9698000000000002</v>
      </c>
      <c r="L227">
        <f t="shared" si="10"/>
        <v>4.9611999999999998</v>
      </c>
      <c r="M227">
        <f t="shared" si="11"/>
        <v>129753.24840764335</v>
      </c>
      <c r="N227">
        <f t="shared" si="12"/>
        <v>134941.58940397351</v>
      </c>
      <c r="O227">
        <f t="shared" si="13"/>
        <v>104850.10309278349</v>
      </c>
      <c r="P227">
        <f t="shared" si="15"/>
        <v>0.50479474298184945</v>
      </c>
      <c r="Q227">
        <f t="shared" si="16"/>
        <v>0.52166721782683556</v>
      </c>
      <c r="R227">
        <f t="shared" si="17"/>
        <v>0.40533731528479117</v>
      </c>
      <c r="S227" s="20">
        <v>31</v>
      </c>
      <c r="T227" s="20">
        <f t="shared" si="18"/>
        <v>0.19501268048299736</v>
      </c>
    </row>
    <row r="228" spans="1:20" x14ac:dyDescent="0.2">
      <c r="A228">
        <v>73</v>
      </c>
      <c r="B228">
        <v>3.2000000000000001E-2</v>
      </c>
      <c r="C228">
        <v>53</v>
      </c>
      <c r="D228">
        <v>3.1300000000000001E-2</v>
      </c>
      <c r="E228">
        <v>125</v>
      </c>
      <c r="F228">
        <v>4.0399999999999998E-2</v>
      </c>
      <c r="G228">
        <f t="shared" si="14"/>
        <v>25625</v>
      </c>
      <c r="H228">
        <f t="shared" si="6"/>
        <v>26198.083067092652</v>
      </c>
      <c r="I228">
        <f t="shared" si="7"/>
        <v>20297.029702970296</v>
      </c>
      <c r="J228">
        <f t="shared" si="8"/>
        <v>4.968</v>
      </c>
      <c r="K228">
        <f t="shared" si="9"/>
        <v>4.9687000000000001</v>
      </c>
      <c r="L228">
        <f t="shared" si="10"/>
        <v>4.9596</v>
      </c>
      <c r="M228">
        <f t="shared" si="11"/>
        <v>127305</v>
      </c>
      <c r="N228">
        <f t="shared" si="12"/>
        <v>130170.41533546326</v>
      </c>
      <c r="O228">
        <f t="shared" si="13"/>
        <v>100665.14851485148</v>
      </c>
      <c r="P228">
        <f t="shared" si="15"/>
        <v>0.49527002633036832</v>
      </c>
      <c r="Q228">
        <f t="shared" si="16"/>
        <v>0.50322245877900706</v>
      </c>
      <c r="R228">
        <f t="shared" si="17"/>
        <v>0.38915880707954259</v>
      </c>
      <c r="S228" s="20">
        <v>37</v>
      </c>
      <c r="T228" s="20">
        <f t="shared" si="18"/>
        <v>0.1680209927257145</v>
      </c>
    </row>
    <row r="229" spans="1:20" x14ac:dyDescent="0.2">
      <c r="A229">
        <v>76</v>
      </c>
      <c r="B229">
        <v>3.27E-2</v>
      </c>
      <c r="C229">
        <v>59</v>
      </c>
      <c r="D229">
        <v>3.2199999999999999E-2</v>
      </c>
      <c r="E229">
        <v>139</v>
      </c>
      <c r="F229">
        <v>4.19E-2</v>
      </c>
      <c r="G229">
        <f t="shared" si="14"/>
        <v>25076.45259938838</v>
      </c>
      <c r="H229">
        <f t="shared" si="6"/>
        <v>25465.838509316771</v>
      </c>
      <c r="I229">
        <f t="shared" si="7"/>
        <v>19570.405727923629</v>
      </c>
      <c r="J229">
        <f t="shared" si="8"/>
        <v>4.9672999999999998</v>
      </c>
      <c r="K229">
        <f t="shared" si="9"/>
        <v>4.9678000000000004</v>
      </c>
      <c r="L229">
        <f t="shared" si="10"/>
        <v>4.9581</v>
      </c>
      <c r="M229">
        <f t="shared" si="11"/>
        <v>124562.26299694189</v>
      </c>
      <c r="N229">
        <f t="shared" si="12"/>
        <v>126509.19254658387</v>
      </c>
      <c r="O229">
        <f t="shared" si="13"/>
        <v>97032.028639618147</v>
      </c>
      <c r="P229">
        <f t="shared" si="15"/>
        <v>0.48459962510714955</v>
      </c>
      <c r="Q229">
        <f t="shared" si="16"/>
        <v>0.48906863181909821</v>
      </c>
      <c r="R229">
        <f t="shared" si="17"/>
        <v>0.37511362245028446</v>
      </c>
      <c r="S229" s="20">
        <v>40</v>
      </c>
      <c r="T229" s="20">
        <f t="shared" si="18"/>
        <v>0.1573457023376213</v>
      </c>
    </row>
    <row r="230" spans="1:20" x14ac:dyDescent="0.2">
      <c r="A230">
        <v>80</v>
      </c>
      <c r="B230">
        <v>3.3300000000000003E-2</v>
      </c>
      <c r="C230">
        <v>61</v>
      </c>
      <c r="D230">
        <v>3.3599999999999998E-2</v>
      </c>
      <c r="E230">
        <v>154</v>
      </c>
      <c r="F230">
        <v>4.3299999999999998E-2</v>
      </c>
      <c r="G230">
        <f t="shared" si="14"/>
        <v>24624.624624624623</v>
      </c>
      <c r="H230">
        <f t="shared" si="6"/>
        <v>24404.761904761905</v>
      </c>
      <c r="I230">
        <f t="shared" si="7"/>
        <v>18937.644341801388</v>
      </c>
      <c r="J230">
        <f t="shared" si="8"/>
        <v>4.9667000000000003</v>
      </c>
      <c r="K230">
        <f t="shared" si="9"/>
        <v>4.9664000000000001</v>
      </c>
      <c r="L230">
        <f t="shared" si="10"/>
        <v>4.9566999999999997</v>
      </c>
      <c r="M230">
        <f t="shared" si="11"/>
        <v>122303.12312312312</v>
      </c>
      <c r="N230">
        <f t="shared" si="12"/>
        <v>121203.80952380953</v>
      </c>
      <c r="O230">
        <f t="shared" si="13"/>
        <v>93868.221709006932</v>
      </c>
      <c r="P230">
        <f t="shared" si="15"/>
        <v>0.47581062023860388</v>
      </c>
      <c r="Q230">
        <f t="shared" si="16"/>
        <v>0.46855868812256335</v>
      </c>
      <c r="R230">
        <f t="shared" si="17"/>
        <v>0.36288274265612208</v>
      </c>
      <c r="S230" s="20">
        <v>41</v>
      </c>
      <c r="T230" s="20">
        <f t="shared" si="18"/>
        <v>0.15410807324123257</v>
      </c>
    </row>
    <row r="231" spans="1:20" x14ac:dyDescent="0.2">
      <c r="A231">
        <v>82</v>
      </c>
      <c r="B231">
        <v>3.3799999999999997E-2</v>
      </c>
      <c r="C231">
        <v>67</v>
      </c>
      <c r="D231">
        <v>3.4500000000000003E-2</v>
      </c>
      <c r="E231">
        <v>165</v>
      </c>
      <c r="F231">
        <v>4.4299999999999999E-2</v>
      </c>
      <c r="G231">
        <f t="shared" si="14"/>
        <v>24260.3550295858</v>
      </c>
      <c r="H231">
        <f t="shared" si="6"/>
        <v>23768.115942028984</v>
      </c>
      <c r="I231">
        <f t="shared" si="7"/>
        <v>18510.15801354402</v>
      </c>
      <c r="J231">
        <f t="shared" si="8"/>
        <v>4.9661999999999997</v>
      </c>
      <c r="K231">
        <f t="shared" si="9"/>
        <v>4.9654999999999996</v>
      </c>
      <c r="L231">
        <f t="shared" si="10"/>
        <v>4.9557000000000002</v>
      </c>
      <c r="M231">
        <f t="shared" si="11"/>
        <v>120481.775147929</v>
      </c>
      <c r="N231">
        <f t="shared" si="12"/>
        <v>118020.57971014491</v>
      </c>
      <c r="O231">
        <f t="shared" si="13"/>
        <v>91730.790067720111</v>
      </c>
      <c r="P231">
        <f t="shared" si="15"/>
        <v>0.46872481010050127</v>
      </c>
      <c r="Q231">
        <f t="shared" si="16"/>
        <v>0.45625272190464244</v>
      </c>
      <c r="R231">
        <f t="shared" si="17"/>
        <v>0.35461970067973708</v>
      </c>
      <c r="S231" s="20">
        <v>42</v>
      </c>
      <c r="T231" s="20">
        <f t="shared" si="18"/>
        <v>0.15101270799021221</v>
      </c>
    </row>
    <row r="232" spans="1:20" x14ac:dyDescent="0.2">
      <c r="A232">
        <v>84</v>
      </c>
      <c r="B232">
        <v>3.44E-2</v>
      </c>
      <c r="C232">
        <v>72</v>
      </c>
      <c r="D232">
        <v>3.5700000000000003E-2</v>
      </c>
      <c r="E232">
        <v>180</v>
      </c>
      <c r="F232">
        <v>4.58E-2</v>
      </c>
      <c r="G232">
        <f t="shared" si="14"/>
        <v>23837.20930232558</v>
      </c>
      <c r="H232">
        <f t="shared" si="6"/>
        <v>22969.187675070025</v>
      </c>
      <c r="I232">
        <f t="shared" si="7"/>
        <v>17903.930131004367</v>
      </c>
      <c r="J232">
        <f t="shared" si="8"/>
        <v>4.9656000000000002</v>
      </c>
      <c r="K232">
        <f t="shared" si="9"/>
        <v>4.9642999999999997</v>
      </c>
      <c r="L232">
        <f t="shared" si="10"/>
        <v>4.9542000000000002</v>
      </c>
      <c r="M232">
        <f t="shared" si="11"/>
        <v>118366.04651162791</v>
      </c>
      <c r="N232">
        <f t="shared" si="12"/>
        <v>114025.93837535012</v>
      </c>
      <c r="O232">
        <f t="shared" si="13"/>
        <v>88699.650655021833</v>
      </c>
      <c r="P232">
        <f t="shared" si="15"/>
        <v>0.46049373530054244</v>
      </c>
      <c r="Q232">
        <f t="shared" si="16"/>
        <v>0.440809940768428</v>
      </c>
      <c r="R232">
        <f t="shared" si="17"/>
        <v>0.34290169682894639</v>
      </c>
      <c r="S232" s="20">
        <v>45</v>
      </c>
      <c r="T232" s="20">
        <f t="shared" si="18"/>
        <v>0.14249002458659923</v>
      </c>
    </row>
    <row r="233" spans="1:20" x14ac:dyDescent="0.2">
      <c r="A233">
        <v>88</v>
      </c>
      <c r="B233">
        <v>3.5000000000000003E-2</v>
      </c>
      <c r="C233">
        <v>76</v>
      </c>
      <c r="D233">
        <v>3.6499999999999998E-2</v>
      </c>
      <c r="E233">
        <v>193</v>
      </c>
      <c r="F233">
        <v>4.7E-2</v>
      </c>
      <c r="G233">
        <f t="shared" si="14"/>
        <v>23428.571428571428</v>
      </c>
      <c r="H233">
        <f t="shared" si="6"/>
        <v>22465.753424657534</v>
      </c>
      <c r="I233">
        <f t="shared" si="7"/>
        <v>17446.808510638297</v>
      </c>
      <c r="J233">
        <f t="shared" si="8"/>
        <v>4.9649999999999999</v>
      </c>
      <c r="K233">
        <f t="shared" si="9"/>
        <v>4.9634999999999998</v>
      </c>
      <c r="L233">
        <f t="shared" si="10"/>
        <v>4.9530000000000003</v>
      </c>
      <c r="M233">
        <f t="shared" si="11"/>
        <v>116322.85714285713</v>
      </c>
      <c r="N233">
        <f t="shared" si="12"/>
        <v>111508.76712328766</v>
      </c>
      <c r="O233">
        <f t="shared" si="13"/>
        <v>86414.042553191495</v>
      </c>
      <c r="P233">
        <f t="shared" si="15"/>
        <v>0.45254486877943934</v>
      </c>
      <c r="Q233">
        <f t="shared" si="16"/>
        <v>0.43107887320314225</v>
      </c>
      <c r="R233">
        <f t="shared" si="17"/>
        <v>0.33406582328698853</v>
      </c>
      <c r="S233" s="20">
        <v>49</v>
      </c>
      <c r="T233" s="20">
        <f t="shared" si="18"/>
        <v>0.13263077233704865</v>
      </c>
    </row>
    <row r="234" spans="1:20" x14ac:dyDescent="0.2">
      <c r="A234">
        <v>90</v>
      </c>
      <c r="B234">
        <v>3.5400000000000001E-2</v>
      </c>
      <c r="C234">
        <v>80</v>
      </c>
      <c r="D234">
        <v>3.7400000000000003E-2</v>
      </c>
      <c r="E234">
        <v>210</v>
      </c>
      <c r="F234">
        <v>4.8300000000000003E-2</v>
      </c>
      <c r="G234">
        <f t="shared" si="14"/>
        <v>23163.841807909605</v>
      </c>
      <c r="H234">
        <f t="shared" si="6"/>
        <v>21925.133689839571</v>
      </c>
      <c r="I234">
        <f t="shared" si="7"/>
        <v>16977.225672877845</v>
      </c>
      <c r="J234">
        <f t="shared" si="8"/>
        <v>4.9645999999999999</v>
      </c>
      <c r="K234">
        <f t="shared" si="9"/>
        <v>4.9626000000000001</v>
      </c>
      <c r="L234">
        <f t="shared" si="10"/>
        <v>4.9516999999999998</v>
      </c>
      <c r="M234">
        <f t="shared" si="11"/>
        <v>114999.20903954802</v>
      </c>
      <c r="N234">
        <f t="shared" si="12"/>
        <v>108805.66844919785</v>
      </c>
      <c r="O234">
        <f t="shared" si="13"/>
        <v>84066.128364389224</v>
      </c>
      <c r="P234">
        <f t="shared" si="15"/>
        <v>0.447395320600043</v>
      </c>
      <c r="Q234">
        <f t="shared" si="16"/>
        <v>0.42062903360178422</v>
      </c>
      <c r="R234">
        <f t="shared" si="17"/>
        <v>0.32498908224681994</v>
      </c>
      <c r="S234" s="20">
        <v>51</v>
      </c>
      <c r="T234" s="20">
        <f t="shared" si="18"/>
        <v>0.12823757881174289</v>
      </c>
    </row>
    <row r="235" spans="1:20" x14ac:dyDescent="0.2">
      <c r="A235">
        <v>93</v>
      </c>
      <c r="B235">
        <v>3.5799999999999998E-2</v>
      </c>
      <c r="C235">
        <v>85</v>
      </c>
      <c r="D235">
        <v>3.8100000000000002E-2</v>
      </c>
      <c r="E235">
        <v>222</v>
      </c>
      <c r="F235">
        <v>4.8599999999999997E-2</v>
      </c>
      <c r="G235">
        <f t="shared" si="14"/>
        <v>22905.027932960897</v>
      </c>
      <c r="H235">
        <f t="shared" si="6"/>
        <v>21522.309711286089</v>
      </c>
      <c r="I235">
        <f t="shared" si="7"/>
        <v>16872.427983539095</v>
      </c>
      <c r="J235">
        <f t="shared" si="8"/>
        <v>4.9641999999999999</v>
      </c>
      <c r="K235">
        <f t="shared" si="9"/>
        <v>4.9619</v>
      </c>
      <c r="L235">
        <f t="shared" si="10"/>
        <v>4.9513999999999996</v>
      </c>
      <c r="M235">
        <f t="shared" si="11"/>
        <v>113705.13966480448</v>
      </c>
      <c r="N235">
        <f t="shared" si="12"/>
        <v>106791.54855643044</v>
      </c>
      <c r="O235">
        <f t="shared" si="13"/>
        <v>83542.139917695473</v>
      </c>
      <c r="P235">
        <f t="shared" si="15"/>
        <v>0.4423608461229796</v>
      </c>
      <c r="Q235">
        <f t="shared" si="16"/>
        <v>0.41284269934063816</v>
      </c>
      <c r="R235">
        <f t="shared" si="17"/>
        <v>0.32296340879531032</v>
      </c>
      <c r="S235" s="20">
        <v>52</v>
      </c>
      <c r="T235" s="20">
        <f t="shared" si="18"/>
        <v>0.12615793818946788</v>
      </c>
    </row>
    <row r="236" spans="1:20" x14ac:dyDescent="0.2">
      <c r="A236">
        <v>98</v>
      </c>
      <c r="B236">
        <v>3.6499999999999998E-2</v>
      </c>
      <c r="C236">
        <v>88</v>
      </c>
      <c r="D236">
        <v>3.8899999999999997E-2</v>
      </c>
      <c r="E236">
        <v>232</v>
      </c>
      <c r="F236">
        <v>4.9299999999999997E-2</v>
      </c>
      <c r="G236">
        <f t="shared" si="14"/>
        <v>22465.753424657534</v>
      </c>
      <c r="H236">
        <f t="shared" si="6"/>
        <v>21079.691516709514</v>
      </c>
      <c r="I236">
        <f t="shared" si="7"/>
        <v>16632.860040567954</v>
      </c>
      <c r="J236">
        <f t="shared" si="8"/>
        <v>4.9634999999999998</v>
      </c>
      <c r="K236">
        <f t="shared" si="9"/>
        <v>4.9611000000000001</v>
      </c>
      <c r="L236">
        <f t="shared" si="10"/>
        <v>4.9507000000000003</v>
      </c>
      <c r="M236">
        <f t="shared" si="11"/>
        <v>111508.76712328766</v>
      </c>
      <c r="N236">
        <f t="shared" si="12"/>
        <v>104578.45758354757</v>
      </c>
      <c r="O236">
        <f t="shared" si="13"/>
        <v>82344.300202839775</v>
      </c>
      <c r="P236">
        <f t="shared" si="15"/>
        <v>0.43381603259273072</v>
      </c>
      <c r="Q236">
        <f t="shared" si="16"/>
        <v>0.40428716790128866</v>
      </c>
      <c r="R236">
        <f t="shared" si="17"/>
        <v>0.31833271106741728</v>
      </c>
      <c r="S236" s="20">
        <v>53</v>
      </c>
      <c r="T236" s="20">
        <f t="shared" si="18"/>
        <v>0.12415068376780046</v>
      </c>
    </row>
    <row r="237" spans="1:20" x14ac:dyDescent="0.2">
      <c r="S237" s="20">
        <v>59</v>
      </c>
      <c r="T237" s="20">
        <f t="shared" si="18"/>
        <v>0.11343106357053409</v>
      </c>
    </row>
    <row r="238" spans="1:20" x14ac:dyDescent="0.2">
      <c r="S238" s="20">
        <v>59</v>
      </c>
      <c r="T238" s="20">
        <f t="shared" si="18"/>
        <v>0.11343106357053409</v>
      </c>
    </row>
    <row r="239" spans="1:20" x14ac:dyDescent="0.2">
      <c r="S239" s="20">
        <v>61</v>
      </c>
      <c r="T239" s="20">
        <f t="shared" si="18"/>
        <v>0.11029140695555881</v>
      </c>
    </row>
    <row r="240" spans="1:20" x14ac:dyDescent="0.2">
      <c r="S240" s="20">
        <v>63</v>
      </c>
      <c r="T240" s="20">
        <f t="shared" si="18"/>
        <v>0.10733581429107338</v>
      </c>
    </row>
    <row r="241" spans="1:20" x14ac:dyDescent="0.2">
      <c r="A241" t="s">
        <v>62</v>
      </c>
      <c r="C241" t="s">
        <v>63</v>
      </c>
      <c r="E241" t="s">
        <v>65</v>
      </c>
      <c r="H241" t="s">
        <v>66</v>
      </c>
      <c r="J241" t="s">
        <v>63</v>
      </c>
      <c r="L241" t="s">
        <v>67</v>
      </c>
      <c r="S241" s="20">
        <v>63</v>
      </c>
      <c r="T241" s="20">
        <f t="shared" si="18"/>
        <v>0.10733581429107338</v>
      </c>
    </row>
    <row r="242" spans="1:20" x14ac:dyDescent="0.2">
      <c r="A242" t="s">
        <v>64</v>
      </c>
      <c r="B242" t="s">
        <v>11</v>
      </c>
      <c r="C242" t="s">
        <v>10</v>
      </c>
      <c r="H242" t="s">
        <v>64</v>
      </c>
      <c r="I242" t="s">
        <v>68</v>
      </c>
      <c r="J242" t="s">
        <v>10</v>
      </c>
      <c r="S242" s="20">
        <v>67</v>
      </c>
      <c r="T242" s="20">
        <f t="shared" si="18"/>
        <v>0.10191413298027743</v>
      </c>
    </row>
    <row r="243" spans="1:20" x14ac:dyDescent="0.2">
      <c r="A243" t="s">
        <v>69</v>
      </c>
      <c r="B243">
        <v>1.0999999999999999E-2</v>
      </c>
      <c r="C243">
        <v>175</v>
      </c>
      <c r="H243" t="s">
        <v>69</v>
      </c>
      <c r="I243">
        <v>1.11E-2</v>
      </c>
      <c r="J243">
        <v>435</v>
      </c>
      <c r="S243" s="20">
        <v>69</v>
      </c>
      <c r="T243" s="20">
        <f t="shared" si="18"/>
        <v>9.9421077043226072E-2</v>
      </c>
    </row>
    <row r="244" spans="1:20" x14ac:dyDescent="0.2">
      <c r="A244" t="s">
        <v>70</v>
      </c>
      <c r="B244">
        <v>1.2E-2</v>
      </c>
      <c r="C244">
        <v>300</v>
      </c>
      <c r="H244" t="s">
        <v>75</v>
      </c>
      <c r="I244">
        <v>1.0999999999999999E-2</v>
      </c>
      <c r="J244">
        <v>198</v>
      </c>
      <c r="S244" s="20">
        <v>72</v>
      </c>
      <c r="T244" s="20">
        <f t="shared" si="18"/>
        <v>9.5921383925821918E-2</v>
      </c>
    </row>
    <row r="245" spans="1:20" x14ac:dyDescent="0.2">
      <c r="A245" t="s">
        <v>71</v>
      </c>
      <c r="B245">
        <v>1.04E-2</v>
      </c>
      <c r="C245">
        <v>150</v>
      </c>
      <c r="H245" t="s">
        <v>76</v>
      </c>
      <c r="I245">
        <v>1.0200000000000001E-2</v>
      </c>
      <c r="J245">
        <v>135</v>
      </c>
      <c r="S245" s="20">
        <v>73</v>
      </c>
      <c r="T245" s="20">
        <f t="shared" si="18"/>
        <v>9.4813799337250926E-2</v>
      </c>
    </row>
    <row r="246" spans="1:20" x14ac:dyDescent="0.2">
      <c r="A246" t="s">
        <v>72</v>
      </c>
      <c r="B246">
        <v>8.8999999999999996E-2</v>
      </c>
      <c r="C246">
        <v>246</v>
      </c>
      <c r="H246" t="s">
        <v>72</v>
      </c>
      <c r="I246">
        <v>5.5E-2</v>
      </c>
      <c r="J246">
        <v>98</v>
      </c>
      <c r="S246" s="20">
        <v>76</v>
      </c>
      <c r="T246" s="20">
        <f t="shared" si="18"/>
        <v>9.1652507939151709E-2</v>
      </c>
    </row>
    <row r="247" spans="1:20" x14ac:dyDescent="0.2">
      <c r="A247" t="s">
        <v>73</v>
      </c>
      <c r="B247">
        <v>1.6E-2</v>
      </c>
      <c r="H247" t="s">
        <v>77</v>
      </c>
      <c r="I247">
        <v>1.12E-2</v>
      </c>
      <c r="J247">
        <v>287</v>
      </c>
      <c r="S247" s="20">
        <v>76</v>
      </c>
      <c r="T247" s="20">
        <f t="shared" si="18"/>
        <v>9.1652507939151709E-2</v>
      </c>
    </row>
    <row r="248" spans="1:20" x14ac:dyDescent="0.2">
      <c r="A248" t="s">
        <v>74</v>
      </c>
      <c r="B248">
        <v>1.5100000000000001E-2</v>
      </c>
      <c r="H248" t="s">
        <v>78</v>
      </c>
      <c r="S248" s="20">
        <v>76</v>
      </c>
      <c r="T248" s="20">
        <f t="shared" si="18"/>
        <v>9.1652507939151709E-2</v>
      </c>
    </row>
    <row r="249" spans="1:20" x14ac:dyDescent="0.2">
      <c r="S249" s="20">
        <v>80</v>
      </c>
      <c r="T249" s="20">
        <f t="shared" si="18"/>
        <v>8.7778393648461614E-2</v>
      </c>
    </row>
    <row r="250" spans="1:20" x14ac:dyDescent="0.2">
      <c r="S250" s="20">
        <v>80</v>
      </c>
      <c r="T250" s="20">
        <f t="shared" si="18"/>
        <v>8.7778393648461614E-2</v>
      </c>
    </row>
    <row r="251" spans="1:20" x14ac:dyDescent="0.2">
      <c r="S251" s="20">
        <v>82</v>
      </c>
      <c r="T251" s="20">
        <f t="shared" si="18"/>
        <v>8.5972218601489347E-2</v>
      </c>
    </row>
    <row r="252" spans="1:20" ht="17" thickBot="1" x14ac:dyDescent="0.25">
      <c r="S252" s="20">
        <v>84</v>
      </c>
      <c r="T252" s="20">
        <f t="shared" si="18"/>
        <v>8.4245408237728567E-2</v>
      </c>
    </row>
    <row r="253" spans="1:20" ht="17" thickBot="1" x14ac:dyDescent="0.25">
      <c r="A253" t="s">
        <v>82</v>
      </c>
      <c r="B253" s="13" t="s">
        <v>80</v>
      </c>
      <c r="C253" s="14" t="s">
        <v>81</v>
      </c>
      <c r="E253" s="13" t="s">
        <v>64</v>
      </c>
      <c r="F253" s="14" t="s">
        <v>80</v>
      </c>
      <c r="G253" s="14" t="s">
        <v>81</v>
      </c>
      <c r="S253" s="20">
        <v>85</v>
      </c>
      <c r="T253" s="20">
        <f t="shared" si="18"/>
        <v>8.3410103972762745E-2</v>
      </c>
    </row>
    <row r="254" spans="1:20" ht="17" thickBot="1" x14ac:dyDescent="0.25">
      <c r="A254" t="s">
        <v>83</v>
      </c>
      <c r="B254" s="15">
        <v>1.6E-2</v>
      </c>
      <c r="C254" s="17">
        <v>300</v>
      </c>
      <c r="E254" s="18" t="s">
        <v>69</v>
      </c>
      <c r="F254" s="19">
        <v>1.12E-2</v>
      </c>
      <c r="G254" s="17">
        <v>287</v>
      </c>
      <c r="S254" s="20">
        <v>88</v>
      </c>
      <c r="T254" s="20">
        <f t="shared" si="18"/>
        <v>8.1009320256924935E-2</v>
      </c>
    </row>
    <row r="255" spans="1:20" ht="17" thickBot="1" x14ac:dyDescent="0.25">
      <c r="A255" t="s">
        <v>84</v>
      </c>
      <c r="B255" s="15">
        <v>1.8100000000000002E-2</v>
      </c>
      <c r="C255" s="16">
        <v>360</v>
      </c>
      <c r="E255" s="18" t="s">
        <v>84</v>
      </c>
      <c r="F255" s="19">
        <v>1.9900000000000001E-2</v>
      </c>
      <c r="G255" s="17">
        <v>158</v>
      </c>
      <c r="S255" s="20">
        <v>88</v>
      </c>
      <c r="T255" s="20">
        <f t="shared" si="18"/>
        <v>8.1009320256924935E-2</v>
      </c>
    </row>
    <row r="256" spans="1:20" ht="17" thickBot="1" x14ac:dyDescent="0.25">
      <c r="A256" t="s">
        <v>85</v>
      </c>
      <c r="B256" s="15">
        <v>1.04E-2</v>
      </c>
      <c r="C256" s="17">
        <v>150</v>
      </c>
      <c r="E256" s="18" t="s">
        <v>85</v>
      </c>
      <c r="F256" s="19">
        <v>1.0200000000000001E-2</v>
      </c>
      <c r="G256" s="17">
        <v>135</v>
      </c>
      <c r="S256" s="20">
        <v>89</v>
      </c>
      <c r="T256" s="20">
        <f t="shared" si="18"/>
        <v>8.0242234215674335E-2</v>
      </c>
    </row>
    <row r="257" spans="1:20" ht="17" thickBot="1" x14ac:dyDescent="0.25">
      <c r="A257" t="s">
        <v>86</v>
      </c>
      <c r="B257" s="15">
        <v>8.8999999999999996E-2</v>
      </c>
      <c r="C257" s="17">
        <v>246</v>
      </c>
      <c r="E257" s="18" t="s">
        <v>86</v>
      </c>
      <c r="F257" s="19">
        <v>5.5E-2</v>
      </c>
      <c r="G257" s="17">
        <v>98</v>
      </c>
      <c r="S257" s="20">
        <v>90</v>
      </c>
      <c r="T257" s="20">
        <f t="shared" si="18"/>
        <v>7.949086173515986E-2</v>
      </c>
    </row>
    <row r="258" spans="1:20" ht="17" thickBot="1" x14ac:dyDescent="0.25">
      <c r="A258" t="s">
        <v>87</v>
      </c>
      <c r="B258" s="15">
        <v>1.0999999999999999E-2</v>
      </c>
      <c r="C258" s="16">
        <v>175</v>
      </c>
      <c r="E258" s="18" t="s">
        <v>87</v>
      </c>
      <c r="F258" s="19">
        <v>1.11E-2</v>
      </c>
      <c r="G258" s="17">
        <v>435</v>
      </c>
      <c r="S258" s="20">
        <v>93</v>
      </c>
      <c r="T258" s="20">
        <f t="shared" si="18"/>
        <v>7.7326215476415563E-2</v>
      </c>
    </row>
    <row r="259" spans="1:20" ht="17" thickBot="1" x14ac:dyDescent="0.25">
      <c r="A259" t="s">
        <v>88</v>
      </c>
      <c r="B259" s="15">
        <v>1.2E-2</v>
      </c>
      <c r="C259" s="16">
        <v>300</v>
      </c>
      <c r="E259" s="18" t="s">
        <v>88</v>
      </c>
      <c r="F259" s="19">
        <v>1.0999999999999999E-2</v>
      </c>
      <c r="G259" s="16">
        <v>198</v>
      </c>
      <c r="S259" s="20">
        <v>98</v>
      </c>
      <c r="T259" s="20">
        <f t="shared" si="18"/>
        <v>7.3990684023387585E-2</v>
      </c>
    </row>
    <row r="260" spans="1:20" x14ac:dyDescent="0.2">
      <c r="S260" s="20">
        <v>100</v>
      </c>
      <c r="T260" s="20">
        <f t="shared" si="18"/>
        <v>7.2742696855168432E-2</v>
      </c>
    </row>
    <row r="261" spans="1:20" x14ac:dyDescent="0.2">
      <c r="S261" s="20">
        <v>112</v>
      </c>
      <c r="T261" s="20">
        <f t="shared" si="18"/>
        <v>6.6122280396505029E-2</v>
      </c>
    </row>
    <row r="262" spans="1:20" x14ac:dyDescent="0.2">
      <c r="S262" s="20">
        <v>125</v>
      </c>
      <c r="T262" s="20">
        <f t="shared" si="18"/>
        <v>6.0282487817611967E-2</v>
      </c>
    </row>
    <row r="263" spans="1:20" x14ac:dyDescent="0.2">
      <c r="S263" s="20">
        <v>139</v>
      </c>
      <c r="T263" s="20">
        <f t="shared" si="18"/>
        <v>5.512783489150079E-2</v>
      </c>
    </row>
    <row r="264" spans="1:20" x14ac:dyDescent="0.2">
      <c r="S264" s="20">
        <v>154</v>
      </c>
      <c r="T264" s="20">
        <f t="shared" si="18"/>
        <v>5.0570465469650029E-2</v>
      </c>
    </row>
    <row r="265" spans="1:20" x14ac:dyDescent="0.2">
      <c r="S265" s="20">
        <v>165</v>
      </c>
      <c r="T265" s="20">
        <f t="shared" si="18"/>
        <v>4.7716427074423688E-2</v>
      </c>
    </row>
    <row r="266" spans="1:20" x14ac:dyDescent="0.2">
      <c r="S266" s="20">
        <v>180</v>
      </c>
      <c r="T266" s="20">
        <f t="shared" si="18"/>
        <v>4.434554010170734E-2</v>
      </c>
    </row>
    <row r="267" spans="1:20" x14ac:dyDescent="0.2">
      <c r="S267" s="20">
        <v>193</v>
      </c>
      <c r="T267" s="20">
        <f t="shared" si="18"/>
        <v>4.1816737234095104E-2</v>
      </c>
    </row>
    <row r="268" spans="1:20" x14ac:dyDescent="0.2">
      <c r="S268" s="20">
        <v>210</v>
      </c>
      <c r="T268" s="20">
        <f t="shared" si="18"/>
        <v>3.8947604553745338E-2</v>
      </c>
    </row>
    <row r="269" spans="1:20" x14ac:dyDescent="0.2">
      <c r="S269" s="20">
        <v>222</v>
      </c>
      <c r="T269" s="20">
        <f t="shared" si="18"/>
        <v>3.7167229856519948E-2</v>
      </c>
    </row>
    <row r="270" spans="1:20" x14ac:dyDescent="0.2">
      <c r="S270" s="20">
        <v>232</v>
      </c>
      <c r="T270" s="20">
        <f t="shared" si="18"/>
        <v>3.5813644203513656E-2</v>
      </c>
    </row>
    <row r="283" spans="1:31" x14ac:dyDescent="0.2">
      <c r="A283" t="s">
        <v>108</v>
      </c>
    </row>
    <row r="285" spans="1:31" x14ac:dyDescent="0.2">
      <c r="A285" t="s">
        <v>89</v>
      </c>
      <c r="B285" t="s">
        <v>90</v>
      </c>
      <c r="C285" t="s">
        <v>91</v>
      </c>
      <c r="D285" t="s">
        <v>92</v>
      </c>
      <c r="E285" t="s">
        <v>93</v>
      </c>
      <c r="F285" t="s">
        <v>94</v>
      </c>
      <c r="G285" t="s">
        <v>95</v>
      </c>
      <c r="H285" t="s">
        <v>99</v>
      </c>
      <c r="I285">
        <v>2</v>
      </c>
      <c r="J285">
        <v>3</v>
      </c>
      <c r="K285">
        <v>4</v>
      </c>
      <c r="L285">
        <v>5</v>
      </c>
      <c r="M285">
        <v>6</v>
      </c>
      <c r="N285" t="s">
        <v>100</v>
      </c>
      <c r="O285">
        <v>2</v>
      </c>
      <c r="P285">
        <v>3</v>
      </c>
      <c r="Q285">
        <v>4</v>
      </c>
      <c r="R285">
        <v>5</v>
      </c>
      <c r="S285">
        <v>6</v>
      </c>
      <c r="T285" t="s">
        <v>101</v>
      </c>
      <c r="U285">
        <v>2</v>
      </c>
      <c r="V285">
        <v>3</v>
      </c>
      <c r="W285">
        <v>4</v>
      </c>
      <c r="X285">
        <v>5</v>
      </c>
      <c r="Y285">
        <v>6</v>
      </c>
      <c r="Z285" t="s">
        <v>102</v>
      </c>
      <c r="AA285" t="s">
        <v>103</v>
      </c>
      <c r="AB285" t="s">
        <v>104</v>
      </c>
      <c r="AC285" t="s">
        <v>105</v>
      </c>
      <c r="AD285" t="s">
        <v>106</v>
      </c>
      <c r="AE285" t="s">
        <v>107</v>
      </c>
    </row>
    <row r="286" spans="1:31" x14ac:dyDescent="0.2">
      <c r="A286">
        <v>10</v>
      </c>
      <c r="B286">
        <v>41.6</v>
      </c>
      <c r="C286">
        <v>27.4</v>
      </c>
      <c r="D286">
        <v>21.3</v>
      </c>
      <c r="E286">
        <v>17.399999999999999</v>
      </c>
      <c r="F286">
        <v>19.399999999999999</v>
      </c>
      <c r="G286">
        <v>23.8</v>
      </c>
      <c r="H286">
        <f t="shared" ref="H286:M286" si="19">B286/1000</f>
        <v>4.1599999999999998E-2</v>
      </c>
      <c r="I286">
        <f t="shared" si="19"/>
        <v>2.7399999999999997E-2</v>
      </c>
      <c r="J286">
        <f t="shared" si="19"/>
        <v>2.1299999999999999E-2</v>
      </c>
      <c r="K286">
        <f t="shared" si="19"/>
        <v>1.7399999999999999E-2</v>
      </c>
      <c r="L286">
        <f t="shared" si="19"/>
        <v>1.9399999999999997E-2</v>
      </c>
      <c r="M286">
        <f t="shared" si="19"/>
        <v>2.3800000000000002E-2</v>
      </c>
      <c r="N286">
        <f t="shared" ref="N286:S286" si="20">820/H286</f>
        <v>19711.538461538461</v>
      </c>
      <c r="O286">
        <f t="shared" si="20"/>
        <v>29927.007299270077</v>
      </c>
      <c r="P286">
        <f t="shared" si="20"/>
        <v>38497.652582159622</v>
      </c>
      <c r="Q286">
        <f t="shared" si="20"/>
        <v>47126.436781609198</v>
      </c>
      <c r="R286">
        <f t="shared" si="20"/>
        <v>42268.041237113408</v>
      </c>
      <c r="S286">
        <f t="shared" si="20"/>
        <v>34453.781512605041</v>
      </c>
      <c r="T286">
        <f t="shared" ref="T286:Y286" si="21">5-H286</f>
        <v>4.9584000000000001</v>
      </c>
      <c r="U286">
        <f t="shared" si="21"/>
        <v>4.9725999999999999</v>
      </c>
      <c r="V286">
        <f t="shared" si="21"/>
        <v>4.9786999999999999</v>
      </c>
      <c r="W286">
        <f t="shared" si="21"/>
        <v>4.9825999999999997</v>
      </c>
      <c r="X286">
        <f t="shared" si="21"/>
        <v>4.9805999999999999</v>
      </c>
      <c r="Y286">
        <f t="shared" si="21"/>
        <v>4.9762000000000004</v>
      </c>
      <c r="Z286">
        <f t="shared" ref="Z286:AE286" si="22">N286*T286/1000</f>
        <v>97.737692307692313</v>
      </c>
      <c r="AA286">
        <f t="shared" si="22"/>
        <v>148.81503649635039</v>
      </c>
      <c r="AB286">
        <f t="shared" si="22"/>
        <v>191.66826291079809</v>
      </c>
      <c r="AC286">
        <f t="shared" si="22"/>
        <v>234.81218390804599</v>
      </c>
      <c r="AD286">
        <f t="shared" si="22"/>
        <v>210.52020618556705</v>
      </c>
      <c r="AE286">
        <f t="shared" si="22"/>
        <v>171.44890756302522</v>
      </c>
    </row>
    <row r="287" spans="1:31" x14ac:dyDescent="0.2">
      <c r="A287">
        <v>20</v>
      </c>
      <c r="B287">
        <v>29.2</v>
      </c>
      <c r="C287">
        <v>19.5</v>
      </c>
      <c r="D287">
        <v>12.9</v>
      </c>
      <c r="E287">
        <v>12.1</v>
      </c>
      <c r="F287">
        <v>14</v>
      </c>
      <c r="G287">
        <v>15.6</v>
      </c>
      <c r="H287">
        <f t="shared" ref="H287:H324" si="23">B287/1000</f>
        <v>2.92E-2</v>
      </c>
      <c r="I287">
        <f t="shared" ref="I287:I324" si="24">C287/1000</f>
        <v>1.95E-2</v>
      </c>
      <c r="J287">
        <f t="shared" ref="J287:J324" si="25">D287/1000</f>
        <v>1.29E-2</v>
      </c>
      <c r="K287">
        <f t="shared" ref="K287:K324" si="26">E287/1000</f>
        <v>1.21E-2</v>
      </c>
      <c r="L287">
        <f t="shared" ref="L287:L324" si="27">F287/1000</f>
        <v>1.4E-2</v>
      </c>
      <c r="M287">
        <f t="shared" ref="M287:M324" si="28">G287/1000</f>
        <v>1.5599999999999999E-2</v>
      </c>
      <c r="N287">
        <f t="shared" ref="N287:N324" si="29">820/H287</f>
        <v>28082.191780821919</v>
      </c>
      <c r="O287">
        <f t="shared" ref="O287:O324" si="30">820/I287</f>
        <v>42051.282051282054</v>
      </c>
      <c r="P287">
        <f t="shared" ref="P287:P324" si="31">820/J287</f>
        <v>63565.891472868214</v>
      </c>
      <c r="Q287">
        <f t="shared" ref="Q287:Q324" si="32">820/K287</f>
        <v>67768.595041322318</v>
      </c>
      <c r="R287">
        <f t="shared" ref="R287:R324" si="33">820/L287</f>
        <v>58571.428571428572</v>
      </c>
      <c r="S287">
        <f t="shared" ref="S287:S324" si="34">820/M287</f>
        <v>52564.10256410257</v>
      </c>
      <c r="T287">
        <f t="shared" ref="T287:T324" si="35">5-H287</f>
        <v>4.9707999999999997</v>
      </c>
      <c r="U287">
        <f t="shared" ref="U287:U324" si="36">5-I287</f>
        <v>4.9805000000000001</v>
      </c>
      <c r="V287">
        <f t="shared" ref="V287:V324" si="37">5-J287</f>
        <v>4.9870999999999999</v>
      </c>
      <c r="W287">
        <f t="shared" ref="W287:W324" si="38">5-K287</f>
        <v>4.9878999999999998</v>
      </c>
      <c r="X287">
        <f t="shared" ref="X287:X324" si="39">5-L287</f>
        <v>4.9859999999999998</v>
      </c>
      <c r="Y287">
        <f t="shared" ref="Y287:Y324" si="40">5-M287</f>
        <v>4.9843999999999999</v>
      </c>
      <c r="Z287">
        <f t="shared" ref="Z287:Z324" si="41">N287*T287/1000</f>
        <v>139.59095890410958</v>
      </c>
      <c r="AA287">
        <f t="shared" ref="AA287:AA324" si="42">O287*U287/1000</f>
        <v>209.43641025641028</v>
      </c>
      <c r="AB287">
        <f t="shared" ref="AB287:AB324" si="43">P287*V287/1000</f>
        <v>317.00945736434107</v>
      </c>
      <c r="AC287">
        <f t="shared" ref="AC287:AC324" si="44">Q287*W287/1000</f>
        <v>338.02297520661153</v>
      </c>
      <c r="AD287">
        <f t="shared" ref="AD287:AD324" si="45">R287*X287/1000</f>
        <v>292.03714285714284</v>
      </c>
      <c r="AE287">
        <f t="shared" ref="AE287:AE324" si="46">S287*Y287/1000</f>
        <v>262.00051282051282</v>
      </c>
    </row>
    <row r="288" spans="1:31" x14ac:dyDescent="0.2">
      <c r="A288">
        <v>30</v>
      </c>
      <c r="B288">
        <v>24.6</v>
      </c>
      <c r="C288">
        <v>17.3</v>
      </c>
      <c r="D288">
        <v>10.199999999999999</v>
      </c>
      <c r="E288">
        <v>10.4</v>
      </c>
      <c r="F288">
        <v>12.1</v>
      </c>
      <c r="G288">
        <v>13</v>
      </c>
      <c r="H288">
        <f t="shared" si="23"/>
        <v>2.46E-2</v>
      </c>
      <c r="I288">
        <f t="shared" si="24"/>
        <v>1.7299999999999999E-2</v>
      </c>
      <c r="J288">
        <f t="shared" si="25"/>
        <v>1.0199999999999999E-2</v>
      </c>
      <c r="K288">
        <f t="shared" si="26"/>
        <v>1.04E-2</v>
      </c>
      <c r="L288">
        <f t="shared" si="27"/>
        <v>1.21E-2</v>
      </c>
      <c r="M288">
        <f t="shared" si="28"/>
        <v>1.2999999999999999E-2</v>
      </c>
      <c r="N288">
        <f t="shared" si="29"/>
        <v>33333.333333333336</v>
      </c>
      <c r="O288">
        <f t="shared" si="30"/>
        <v>47398.843930635841</v>
      </c>
      <c r="P288">
        <f t="shared" si="31"/>
        <v>80392.156862745105</v>
      </c>
      <c r="Q288">
        <f t="shared" si="32"/>
        <v>78846.153846153844</v>
      </c>
      <c r="R288">
        <f t="shared" si="33"/>
        <v>67768.595041322318</v>
      </c>
      <c r="S288">
        <f t="shared" si="34"/>
        <v>63076.923076923078</v>
      </c>
      <c r="T288">
        <f t="shared" si="35"/>
        <v>4.9753999999999996</v>
      </c>
      <c r="U288">
        <f t="shared" si="36"/>
        <v>4.9827000000000004</v>
      </c>
      <c r="V288">
        <f t="shared" si="37"/>
        <v>4.9897999999999998</v>
      </c>
      <c r="W288">
        <f t="shared" si="38"/>
        <v>4.9896000000000003</v>
      </c>
      <c r="X288">
        <f t="shared" si="39"/>
        <v>4.9878999999999998</v>
      </c>
      <c r="Y288">
        <f t="shared" si="40"/>
        <v>4.9870000000000001</v>
      </c>
      <c r="Z288">
        <f t="shared" si="41"/>
        <v>165.84666666666666</v>
      </c>
      <c r="AA288">
        <f t="shared" si="42"/>
        <v>236.17421965317922</v>
      </c>
      <c r="AB288">
        <f t="shared" si="43"/>
        <v>401.14078431372548</v>
      </c>
      <c r="AC288">
        <f t="shared" si="44"/>
        <v>393.41076923076923</v>
      </c>
      <c r="AD288">
        <f t="shared" si="45"/>
        <v>338.02297520661153</v>
      </c>
      <c r="AE288">
        <f t="shared" si="46"/>
        <v>314.56461538461537</v>
      </c>
    </row>
    <row r="289" spans="1:31" x14ac:dyDescent="0.2">
      <c r="A289">
        <v>40</v>
      </c>
      <c r="B289">
        <v>22.3</v>
      </c>
      <c r="C289">
        <v>16.5</v>
      </c>
      <c r="D289">
        <v>9</v>
      </c>
      <c r="E289">
        <v>9.5</v>
      </c>
      <c r="F289">
        <v>11.3</v>
      </c>
      <c r="G289">
        <v>11.6</v>
      </c>
      <c r="H289">
        <f t="shared" si="23"/>
        <v>2.23E-2</v>
      </c>
      <c r="I289">
        <f t="shared" si="24"/>
        <v>1.6500000000000001E-2</v>
      </c>
      <c r="J289">
        <f t="shared" si="25"/>
        <v>8.9999999999999993E-3</v>
      </c>
      <c r="K289">
        <f t="shared" si="26"/>
        <v>9.4999999999999998E-3</v>
      </c>
      <c r="L289">
        <f t="shared" si="27"/>
        <v>1.1300000000000001E-2</v>
      </c>
      <c r="M289">
        <f t="shared" si="28"/>
        <v>1.1599999999999999E-2</v>
      </c>
      <c r="N289">
        <f t="shared" si="29"/>
        <v>36771.300448430491</v>
      </c>
      <c r="O289">
        <f t="shared" si="30"/>
        <v>49696.969696969696</v>
      </c>
      <c r="P289">
        <f t="shared" si="31"/>
        <v>91111.111111111124</v>
      </c>
      <c r="Q289">
        <f t="shared" si="32"/>
        <v>86315.789473684214</v>
      </c>
      <c r="R289">
        <f t="shared" si="33"/>
        <v>72566.371681415927</v>
      </c>
      <c r="S289">
        <f t="shared" si="34"/>
        <v>70689.655172413797</v>
      </c>
      <c r="T289">
        <f t="shared" si="35"/>
        <v>4.9776999999999996</v>
      </c>
      <c r="U289">
        <f t="shared" si="36"/>
        <v>4.9835000000000003</v>
      </c>
      <c r="V289">
        <f t="shared" si="37"/>
        <v>4.9909999999999997</v>
      </c>
      <c r="W289">
        <f t="shared" si="38"/>
        <v>4.9904999999999999</v>
      </c>
      <c r="X289">
        <f t="shared" si="39"/>
        <v>4.9886999999999997</v>
      </c>
      <c r="Y289">
        <f t="shared" si="40"/>
        <v>4.9884000000000004</v>
      </c>
      <c r="Z289">
        <f t="shared" si="41"/>
        <v>183.03650224215244</v>
      </c>
      <c r="AA289">
        <f t="shared" si="42"/>
        <v>247.66484848484848</v>
      </c>
      <c r="AB289">
        <f t="shared" si="43"/>
        <v>454.73555555555555</v>
      </c>
      <c r="AC289">
        <f t="shared" si="44"/>
        <v>430.75894736842105</v>
      </c>
      <c r="AD289">
        <f t="shared" si="45"/>
        <v>362.01185840707961</v>
      </c>
      <c r="AE289">
        <f t="shared" si="46"/>
        <v>352.62827586206896</v>
      </c>
    </row>
    <row r="290" spans="1:31" x14ac:dyDescent="0.2">
      <c r="A290">
        <v>50</v>
      </c>
      <c r="B290">
        <v>20.8</v>
      </c>
      <c r="C290">
        <v>16.3</v>
      </c>
      <c r="D290">
        <v>8.1</v>
      </c>
      <c r="E290">
        <v>9</v>
      </c>
      <c r="F290">
        <v>10.8</v>
      </c>
      <c r="G290">
        <v>11</v>
      </c>
      <c r="H290">
        <f t="shared" si="23"/>
        <v>2.0799999999999999E-2</v>
      </c>
      <c r="I290">
        <f t="shared" si="24"/>
        <v>1.6300000000000002E-2</v>
      </c>
      <c r="J290">
        <f t="shared" si="25"/>
        <v>8.0999999999999996E-3</v>
      </c>
      <c r="K290">
        <f t="shared" si="26"/>
        <v>8.9999999999999993E-3</v>
      </c>
      <c r="L290">
        <f t="shared" si="27"/>
        <v>1.0800000000000001E-2</v>
      </c>
      <c r="M290">
        <f t="shared" si="28"/>
        <v>1.0999999999999999E-2</v>
      </c>
      <c r="N290">
        <f t="shared" si="29"/>
        <v>39423.076923076922</v>
      </c>
      <c r="O290">
        <f t="shared" si="30"/>
        <v>50306.748466257661</v>
      </c>
      <c r="P290">
        <f t="shared" si="31"/>
        <v>101234.56790123458</v>
      </c>
      <c r="Q290">
        <f t="shared" si="32"/>
        <v>91111.111111111124</v>
      </c>
      <c r="R290">
        <f t="shared" si="33"/>
        <v>75925.925925925927</v>
      </c>
      <c r="S290">
        <f t="shared" si="34"/>
        <v>74545.454545454544</v>
      </c>
      <c r="T290">
        <f t="shared" si="35"/>
        <v>4.9791999999999996</v>
      </c>
      <c r="U290">
        <f t="shared" si="36"/>
        <v>4.9836999999999998</v>
      </c>
      <c r="V290">
        <f t="shared" si="37"/>
        <v>4.9919000000000002</v>
      </c>
      <c r="W290">
        <f t="shared" si="38"/>
        <v>4.9909999999999997</v>
      </c>
      <c r="X290">
        <f t="shared" si="39"/>
        <v>4.9892000000000003</v>
      </c>
      <c r="Y290">
        <f t="shared" si="40"/>
        <v>4.9889999999999999</v>
      </c>
      <c r="Z290">
        <f t="shared" si="41"/>
        <v>196.29538461538459</v>
      </c>
      <c r="AA290">
        <f t="shared" si="42"/>
        <v>250.7137423312883</v>
      </c>
      <c r="AB290">
        <f t="shared" si="43"/>
        <v>505.35283950617293</v>
      </c>
      <c r="AC290">
        <f t="shared" si="44"/>
        <v>454.73555555555555</v>
      </c>
      <c r="AD290">
        <f t="shared" si="45"/>
        <v>378.80962962962968</v>
      </c>
      <c r="AE290">
        <f t="shared" si="46"/>
        <v>371.9072727272727</v>
      </c>
    </row>
    <row r="291" spans="1:31" x14ac:dyDescent="0.2">
      <c r="A291">
        <v>60</v>
      </c>
      <c r="B291">
        <v>19.399999999999999</v>
      </c>
      <c r="C291">
        <v>15.9</v>
      </c>
      <c r="D291">
        <v>7.6</v>
      </c>
      <c r="E291">
        <v>8.6999999999999993</v>
      </c>
      <c r="F291">
        <v>10.5</v>
      </c>
      <c r="G291">
        <v>10.6</v>
      </c>
      <c r="H291">
        <f t="shared" si="23"/>
        <v>1.9399999999999997E-2</v>
      </c>
      <c r="I291">
        <f t="shared" si="24"/>
        <v>1.5900000000000001E-2</v>
      </c>
      <c r="J291">
        <f t="shared" si="25"/>
        <v>7.6E-3</v>
      </c>
      <c r="K291">
        <f t="shared" si="26"/>
        <v>8.6999999999999994E-3</v>
      </c>
      <c r="L291">
        <f t="shared" si="27"/>
        <v>1.0500000000000001E-2</v>
      </c>
      <c r="M291">
        <f t="shared" si="28"/>
        <v>1.06E-2</v>
      </c>
      <c r="N291">
        <f t="shared" si="29"/>
        <v>42268.041237113408</v>
      </c>
      <c r="O291">
        <f t="shared" si="30"/>
        <v>51572.327044025151</v>
      </c>
      <c r="P291">
        <f t="shared" si="31"/>
        <v>107894.73684210527</v>
      </c>
      <c r="Q291">
        <f t="shared" si="32"/>
        <v>94252.873563218396</v>
      </c>
      <c r="R291">
        <f t="shared" si="33"/>
        <v>78095.238095238092</v>
      </c>
      <c r="S291">
        <f t="shared" si="34"/>
        <v>77358.490566037741</v>
      </c>
      <c r="T291">
        <f t="shared" si="35"/>
        <v>4.9805999999999999</v>
      </c>
      <c r="U291">
        <f t="shared" si="36"/>
        <v>4.9840999999999998</v>
      </c>
      <c r="V291">
        <f t="shared" si="37"/>
        <v>4.9923999999999999</v>
      </c>
      <c r="W291">
        <f t="shared" si="38"/>
        <v>4.9912999999999998</v>
      </c>
      <c r="X291">
        <f t="shared" si="39"/>
        <v>4.9894999999999996</v>
      </c>
      <c r="Y291">
        <f t="shared" si="40"/>
        <v>4.9893999999999998</v>
      </c>
      <c r="Z291">
        <f t="shared" si="41"/>
        <v>210.52020618556705</v>
      </c>
      <c r="AA291">
        <f t="shared" si="42"/>
        <v>257.04163522012573</v>
      </c>
      <c r="AB291">
        <f t="shared" si="43"/>
        <v>538.65368421052631</v>
      </c>
      <c r="AC291">
        <f t="shared" si="44"/>
        <v>470.44436781609198</v>
      </c>
      <c r="AD291">
        <f t="shared" si="45"/>
        <v>389.65619047619043</v>
      </c>
      <c r="AE291">
        <f t="shared" si="46"/>
        <v>385.97245283018867</v>
      </c>
    </row>
    <row r="292" spans="1:31" x14ac:dyDescent="0.2">
      <c r="A292">
        <v>70</v>
      </c>
      <c r="B292">
        <v>18.600000000000001</v>
      </c>
      <c r="C292">
        <v>15.6</v>
      </c>
      <c r="D292">
        <v>7.2</v>
      </c>
      <c r="E292">
        <v>8.5</v>
      </c>
      <c r="F292">
        <v>10.3</v>
      </c>
      <c r="G292">
        <v>10.3</v>
      </c>
      <c r="H292">
        <f t="shared" si="23"/>
        <v>1.8600000000000002E-2</v>
      </c>
      <c r="I292">
        <f t="shared" si="24"/>
        <v>1.5599999999999999E-2</v>
      </c>
      <c r="J292">
        <f t="shared" si="25"/>
        <v>7.1999999999999998E-3</v>
      </c>
      <c r="K292">
        <f t="shared" si="26"/>
        <v>8.5000000000000006E-3</v>
      </c>
      <c r="L292">
        <f t="shared" si="27"/>
        <v>1.03E-2</v>
      </c>
      <c r="M292">
        <f t="shared" si="28"/>
        <v>1.03E-2</v>
      </c>
      <c r="N292">
        <f t="shared" si="29"/>
        <v>44086.021505376339</v>
      </c>
      <c r="O292">
        <f t="shared" si="30"/>
        <v>52564.10256410257</v>
      </c>
      <c r="P292">
        <f t="shared" si="31"/>
        <v>113888.88888888889</v>
      </c>
      <c r="Q292">
        <f t="shared" si="32"/>
        <v>96470.588235294112</v>
      </c>
      <c r="R292">
        <f t="shared" si="33"/>
        <v>79611.650485436898</v>
      </c>
      <c r="S292">
        <f t="shared" si="34"/>
        <v>79611.650485436898</v>
      </c>
      <c r="T292">
        <f t="shared" si="35"/>
        <v>4.9813999999999998</v>
      </c>
      <c r="U292">
        <f t="shared" si="36"/>
        <v>4.9843999999999999</v>
      </c>
      <c r="V292">
        <f t="shared" si="37"/>
        <v>4.9927999999999999</v>
      </c>
      <c r="W292">
        <f t="shared" si="38"/>
        <v>4.9915000000000003</v>
      </c>
      <c r="X292">
        <f t="shared" si="39"/>
        <v>4.9897</v>
      </c>
      <c r="Y292">
        <f t="shared" si="40"/>
        <v>4.9897</v>
      </c>
      <c r="Z292">
        <f t="shared" si="41"/>
        <v>219.61010752688168</v>
      </c>
      <c r="AA292">
        <f t="shared" si="42"/>
        <v>262.00051282051282</v>
      </c>
      <c r="AB292">
        <f t="shared" si="43"/>
        <v>568.62444444444452</v>
      </c>
      <c r="AC292">
        <f t="shared" si="44"/>
        <v>481.53294117647062</v>
      </c>
      <c r="AD292">
        <f t="shared" si="45"/>
        <v>397.23825242718448</v>
      </c>
      <c r="AE292">
        <f t="shared" si="46"/>
        <v>397.23825242718448</v>
      </c>
    </row>
    <row r="293" spans="1:31" x14ac:dyDescent="0.2">
      <c r="A293">
        <v>80</v>
      </c>
      <c r="B293">
        <v>18.2</v>
      </c>
      <c r="C293">
        <v>15.5</v>
      </c>
      <c r="D293">
        <v>7</v>
      </c>
      <c r="E293">
        <v>8.5</v>
      </c>
      <c r="F293">
        <v>10</v>
      </c>
      <c r="G293">
        <v>10</v>
      </c>
      <c r="H293">
        <f t="shared" si="23"/>
        <v>1.8200000000000001E-2</v>
      </c>
      <c r="I293">
        <f t="shared" si="24"/>
        <v>1.55E-2</v>
      </c>
      <c r="J293">
        <f t="shared" si="25"/>
        <v>7.0000000000000001E-3</v>
      </c>
      <c r="K293">
        <f t="shared" si="26"/>
        <v>8.5000000000000006E-3</v>
      </c>
      <c r="L293">
        <f t="shared" si="27"/>
        <v>0.01</v>
      </c>
      <c r="M293">
        <f t="shared" si="28"/>
        <v>0.01</v>
      </c>
      <c r="N293">
        <f t="shared" si="29"/>
        <v>45054.945054945056</v>
      </c>
      <c r="O293">
        <f t="shared" si="30"/>
        <v>52903.225806451614</v>
      </c>
      <c r="P293">
        <f t="shared" si="31"/>
        <v>117142.85714285714</v>
      </c>
      <c r="Q293">
        <f t="shared" si="32"/>
        <v>96470.588235294112</v>
      </c>
      <c r="R293">
        <f t="shared" si="33"/>
        <v>82000</v>
      </c>
      <c r="S293">
        <f t="shared" si="34"/>
        <v>82000</v>
      </c>
      <c r="T293">
        <f t="shared" si="35"/>
        <v>4.9817999999999998</v>
      </c>
      <c r="U293">
        <f t="shared" si="36"/>
        <v>4.9844999999999997</v>
      </c>
      <c r="V293">
        <f t="shared" si="37"/>
        <v>4.9930000000000003</v>
      </c>
      <c r="W293">
        <f t="shared" si="38"/>
        <v>4.9915000000000003</v>
      </c>
      <c r="X293">
        <f t="shared" si="39"/>
        <v>4.99</v>
      </c>
      <c r="Y293">
        <f t="shared" si="40"/>
        <v>4.99</v>
      </c>
      <c r="Z293">
        <f t="shared" si="41"/>
        <v>224.45472527472526</v>
      </c>
      <c r="AA293">
        <f t="shared" si="42"/>
        <v>263.69612903225806</v>
      </c>
      <c r="AB293">
        <f t="shared" si="43"/>
        <v>584.89428571428584</v>
      </c>
      <c r="AC293">
        <f t="shared" si="44"/>
        <v>481.53294117647062</v>
      </c>
      <c r="AD293">
        <f t="shared" si="45"/>
        <v>409.18</v>
      </c>
      <c r="AE293">
        <f t="shared" si="46"/>
        <v>409.18</v>
      </c>
    </row>
    <row r="294" spans="1:31" x14ac:dyDescent="0.2">
      <c r="A294">
        <v>90</v>
      </c>
      <c r="B294">
        <v>17.600000000000001</v>
      </c>
      <c r="C294">
        <v>15.4</v>
      </c>
      <c r="D294">
        <v>6.8</v>
      </c>
      <c r="E294">
        <v>8.3000000000000007</v>
      </c>
      <c r="F294">
        <v>9.9</v>
      </c>
      <c r="G294">
        <v>10</v>
      </c>
      <c r="H294">
        <f t="shared" si="23"/>
        <v>1.7600000000000001E-2</v>
      </c>
      <c r="I294">
        <f t="shared" si="24"/>
        <v>1.54E-2</v>
      </c>
      <c r="J294">
        <f t="shared" si="25"/>
        <v>6.7999999999999996E-3</v>
      </c>
      <c r="K294">
        <f t="shared" si="26"/>
        <v>8.3000000000000001E-3</v>
      </c>
      <c r="L294">
        <f t="shared" si="27"/>
        <v>9.9000000000000008E-3</v>
      </c>
      <c r="M294">
        <f t="shared" si="28"/>
        <v>0.01</v>
      </c>
      <c r="N294">
        <f t="shared" si="29"/>
        <v>46590.909090909088</v>
      </c>
      <c r="O294">
        <f t="shared" si="30"/>
        <v>53246.753246753244</v>
      </c>
      <c r="P294">
        <f t="shared" si="31"/>
        <v>120588.23529411765</v>
      </c>
      <c r="Q294">
        <f t="shared" si="32"/>
        <v>98795.180722891571</v>
      </c>
      <c r="R294">
        <f t="shared" si="33"/>
        <v>82828.282828282827</v>
      </c>
      <c r="S294">
        <f t="shared" si="34"/>
        <v>82000</v>
      </c>
      <c r="T294">
        <f t="shared" si="35"/>
        <v>4.9824000000000002</v>
      </c>
      <c r="U294">
        <f t="shared" si="36"/>
        <v>4.9846000000000004</v>
      </c>
      <c r="V294">
        <f t="shared" si="37"/>
        <v>4.9931999999999999</v>
      </c>
      <c r="W294">
        <f t="shared" si="38"/>
        <v>4.9916999999999998</v>
      </c>
      <c r="X294">
        <f t="shared" si="39"/>
        <v>4.9901</v>
      </c>
      <c r="Y294">
        <f t="shared" si="40"/>
        <v>4.99</v>
      </c>
      <c r="Z294">
        <f t="shared" si="41"/>
        <v>232.13454545454545</v>
      </c>
      <c r="AA294">
        <f t="shared" si="42"/>
        <v>265.41376623376624</v>
      </c>
      <c r="AB294">
        <f t="shared" si="43"/>
        <v>602.12117647058824</v>
      </c>
      <c r="AC294">
        <f t="shared" si="44"/>
        <v>493.15590361445783</v>
      </c>
      <c r="AD294">
        <f t="shared" si="45"/>
        <v>413.3214141414141</v>
      </c>
      <c r="AE294">
        <f t="shared" si="46"/>
        <v>409.18</v>
      </c>
    </row>
    <row r="295" spans="1:31" x14ac:dyDescent="0.2">
      <c r="A295">
        <v>100</v>
      </c>
      <c r="B295">
        <v>17.3</v>
      </c>
      <c r="C295">
        <v>15.4</v>
      </c>
      <c r="D295">
        <v>6.7</v>
      </c>
      <c r="E295">
        <v>8.3000000000000007</v>
      </c>
      <c r="F295">
        <v>9.8000000000000007</v>
      </c>
      <c r="G295">
        <v>9.8000000000000007</v>
      </c>
      <c r="H295">
        <f t="shared" si="23"/>
        <v>1.7299999999999999E-2</v>
      </c>
      <c r="I295">
        <f t="shared" si="24"/>
        <v>1.54E-2</v>
      </c>
      <c r="J295">
        <f t="shared" si="25"/>
        <v>6.7000000000000002E-3</v>
      </c>
      <c r="K295">
        <f t="shared" si="26"/>
        <v>8.3000000000000001E-3</v>
      </c>
      <c r="L295">
        <f t="shared" si="27"/>
        <v>9.8000000000000014E-3</v>
      </c>
      <c r="M295">
        <f t="shared" si="28"/>
        <v>9.8000000000000014E-3</v>
      </c>
      <c r="N295">
        <f t="shared" si="29"/>
        <v>47398.843930635841</v>
      </c>
      <c r="O295">
        <f t="shared" si="30"/>
        <v>53246.753246753244</v>
      </c>
      <c r="P295">
        <f t="shared" si="31"/>
        <v>122388.05970149253</v>
      </c>
      <c r="Q295">
        <f t="shared" si="32"/>
        <v>98795.180722891571</v>
      </c>
      <c r="R295">
        <f t="shared" si="33"/>
        <v>83673.469387755089</v>
      </c>
      <c r="S295">
        <f t="shared" si="34"/>
        <v>83673.469387755089</v>
      </c>
      <c r="T295">
        <f t="shared" si="35"/>
        <v>4.9827000000000004</v>
      </c>
      <c r="U295">
        <f t="shared" si="36"/>
        <v>4.9846000000000004</v>
      </c>
      <c r="V295">
        <f t="shared" si="37"/>
        <v>4.9932999999999996</v>
      </c>
      <c r="W295">
        <f t="shared" si="38"/>
        <v>4.9916999999999998</v>
      </c>
      <c r="X295">
        <f t="shared" si="39"/>
        <v>4.9901999999999997</v>
      </c>
      <c r="Y295">
        <f t="shared" si="40"/>
        <v>4.9901999999999997</v>
      </c>
      <c r="Z295">
        <f t="shared" si="41"/>
        <v>236.17421965317922</v>
      </c>
      <c r="AA295">
        <f t="shared" si="42"/>
        <v>265.41376623376624</v>
      </c>
      <c r="AB295">
        <f t="shared" si="43"/>
        <v>611.12029850746262</v>
      </c>
      <c r="AC295">
        <f t="shared" si="44"/>
        <v>493.15590361445783</v>
      </c>
      <c r="AD295">
        <f t="shared" si="45"/>
        <v>417.54734693877543</v>
      </c>
      <c r="AE295">
        <f t="shared" si="46"/>
        <v>417.54734693877543</v>
      </c>
    </row>
    <row r="296" spans="1:31" x14ac:dyDescent="0.2">
      <c r="A296">
        <v>110</v>
      </c>
      <c r="B296">
        <v>16.899999999999999</v>
      </c>
      <c r="C296">
        <v>15.4</v>
      </c>
      <c r="D296">
        <v>6.4</v>
      </c>
      <c r="E296">
        <v>8.1999999999999993</v>
      </c>
      <c r="F296">
        <v>9.6999999999999993</v>
      </c>
      <c r="G296">
        <v>9.6999999999999993</v>
      </c>
      <c r="H296">
        <f t="shared" si="23"/>
        <v>1.6899999999999998E-2</v>
      </c>
      <c r="I296">
        <f t="shared" si="24"/>
        <v>1.54E-2</v>
      </c>
      <c r="J296">
        <f t="shared" si="25"/>
        <v>6.4000000000000003E-3</v>
      </c>
      <c r="K296">
        <f t="shared" si="26"/>
        <v>8.199999999999999E-3</v>
      </c>
      <c r="L296">
        <f t="shared" si="27"/>
        <v>9.6999999999999986E-3</v>
      </c>
      <c r="M296">
        <f t="shared" si="28"/>
        <v>9.6999999999999986E-3</v>
      </c>
      <c r="N296">
        <f t="shared" si="29"/>
        <v>48520.710059171601</v>
      </c>
      <c r="O296">
        <f t="shared" si="30"/>
        <v>53246.753246753244</v>
      </c>
      <c r="P296">
        <f t="shared" si="31"/>
        <v>128125</v>
      </c>
      <c r="Q296">
        <f t="shared" si="32"/>
        <v>100000.00000000001</v>
      </c>
      <c r="R296">
        <f t="shared" si="33"/>
        <v>84536.082474226816</v>
      </c>
      <c r="S296">
        <f t="shared" si="34"/>
        <v>84536.082474226816</v>
      </c>
      <c r="T296">
        <f t="shared" si="35"/>
        <v>4.9831000000000003</v>
      </c>
      <c r="U296">
        <f t="shared" si="36"/>
        <v>4.9846000000000004</v>
      </c>
      <c r="V296">
        <f t="shared" si="37"/>
        <v>4.9935999999999998</v>
      </c>
      <c r="W296">
        <f t="shared" si="38"/>
        <v>4.9917999999999996</v>
      </c>
      <c r="X296">
        <f t="shared" si="39"/>
        <v>4.9903000000000004</v>
      </c>
      <c r="Y296">
        <f t="shared" si="40"/>
        <v>4.9903000000000004</v>
      </c>
      <c r="Z296">
        <f t="shared" si="41"/>
        <v>241.78355029585802</v>
      </c>
      <c r="AA296">
        <f t="shared" si="42"/>
        <v>265.41376623376624</v>
      </c>
      <c r="AB296">
        <f t="shared" si="43"/>
        <v>639.80499999999995</v>
      </c>
      <c r="AC296">
        <f t="shared" si="44"/>
        <v>499.18000000000006</v>
      </c>
      <c r="AD296">
        <f t="shared" si="45"/>
        <v>421.86041237113409</v>
      </c>
      <c r="AE296">
        <f t="shared" si="46"/>
        <v>421.86041237113409</v>
      </c>
    </row>
    <row r="297" spans="1:31" x14ac:dyDescent="0.2">
      <c r="A297">
        <v>120</v>
      </c>
      <c r="B297">
        <v>16.899999999999999</v>
      </c>
      <c r="C297">
        <v>15.4</v>
      </c>
      <c r="D297">
        <v>6.4</v>
      </c>
      <c r="E297">
        <v>8.1999999999999993</v>
      </c>
      <c r="F297">
        <v>9.6</v>
      </c>
      <c r="G297">
        <v>9.8000000000000007</v>
      </c>
      <c r="H297">
        <f t="shared" si="23"/>
        <v>1.6899999999999998E-2</v>
      </c>
      <c r="I297">
        <f t="shared" si="24"/>
        <v>1.54E-2</v>
      </c>
      <c r="J297">
        <f t="shared" si="25"/>
        <v>6.4000000000000003E-3</v>
      </c>
      <c r="K297">
        <f t="shared" si="26"/>
        <v>8.199999999999999E-3</v>
      </c>
      <c r="L297">
        <f t="shared" si="27"/>
        <v>9.5999999999999992E-3</v>
      </c>
      <c r="M297">
        <f t="shared" si="28"/>
        <v>9.8000000000000014E-3</v>
      </c>
      <c r="N297">
        <f t="shared" si="29"/>
        <v>48520.710059171601</v>
      </c>
      <c r="O297">
        <f t="shared" si="30"/>
        <v>53246.753246753244</v>
      </c>
      <c r="P297">
        <f t="shared" si="31"/>
        <v>128125</v>
      </c>
      <c r="Q297">
        <f t="shared" si="32"/>
        <v>100000.00000000001</v>
      </c>
      <c r="R297">
        <f t="shared" si="33"/>
        <v>85416.666666666672</v>
      </c>
      <c r="S297">
        <f t="shared" si="34"/>
        <v>83673.469387755089</v>
      </c>
      <c r="T297">
        <f t="shared" si="35"/>
        <v>4.9831000000000003</v>
      </c>
      <c r="U297">
        <f t="shared" si="36"/>
        <v>4.9846000000000004</v>
      </c>
      <c r="V297">
        <f t="shared" si="37"/>
        <v>4.9935999999999998</v>
      </c>
      <c r="W297">
        <f t="shared" si="38"/>
        <v>4.9917999999999996</v>
      </c>
      <c r="X297">
        <f t="shared" si="39"/>
        <v>4.9904000000000002</v>
      </c>
      <c r="Y297">
        <f t="shared" si="40"/>
        <v>4.9901999999999997</v>
      </c>
      <c r="Z297">
        <f t="shared" si="41"/>
        <v>241.78355029585802</v>
      </c>
      <c r="AA297">
        <f t="shared" si="42"/>
        <v>265.41376623376624</v>
      </c>
      <c r="AB297">
        <f t="shared" si="43"/>
        <v>639.80499999999995</v>
      </c>
      <c r="AC297">
        <f t="shared" si="44"/>
        <v>499.18000000000006</v>
      </c>
      <c r="AD297">
        <f t="shared" si="45"/>
        <v>426.26333333333338</v>
      </c>
      <c r="AE297">
        <f t="shared" si="46"/>
        <v>417.54734693877543</v>
      </c>
    </row>
    <row r="298" spans="1:31" x14ac:dyDescent="0.2">
      <c r="A298">
        <v>130</v>
      </c>
      <c r="B298">
        <v>16.600000000000001</v>
      </c>
      <c r="C298">
        <v>15.1</v>
      </c>
      <c r="D298">
        <v>6.3</v>
      </c>
      <c r="E298">
        <v>8.1999999999999993</v>
      </c>
      <c r="F298">
        <v>9.5</v>
      </c>
      <c r="G298">
        <v>9.6</v>
      </c>
      <c r="H298">
        <f t="shared" si="23"/>
        <v>1.66E-2</v>
      </c>
      <c r="I298">
        <f t="shared" si="24"/>
        <v>1.5099999999999999E-2</v>
      </c>
      <c r="J298">
        <f t="shared" si="25"/>
        <v>6.3E-3</v>
      </c>
      <c r="K298">
        <f t="shared" si="26"/>
        <v>8.199999999999999E-3</v>
      </c>
      <c r="L298">
        <f t="shared" si="27"/>
        <v>9.4999999999999998E-3</v>
      </c>
      <c r="M298">
        <f t="shared" si="28"/>
        <v>9.5999999999999992E-3</v>
      </c>
      <c r="N298">
        <f t="shared" si="29"/>
        <v>49397.590361445786</v>
      </c>
      <c r="O298">
        <f t="shared" si="30"/>
        <v>54304.635761589409</v>
      </c>
      <c r="P298">
        <f t="shared" si="31"/>
        <v>130158.73015873016</v>
      </c>
      <c r="Q298">
        <f t="shared" si="32"/>
        <v>100000.00000000001</v>
      </c>
      <c r="R298">
        <f t="shared" si="33"/>
        <v>86315.789473684214</v>
      </c>
      <c r="S298">
        <f t="shared" si="34"/>
        <v>85416.666666666672</v>
      </c>
      <c r="T298">
        <f t="shared" si="35"/>
        <v>4.9833999999999996</v>
      </c>
      <c r="U298">
        <f t="shared" si="36"/>
        <v>4.9848999999999997</v>
      </c>
      <c r="V298">
        <f t="shared" si="37"/>
        <v>4.9936999999999996</v>
      </c>
      <c r="W298">
        <f t="shared" si="38"/>
        <v>4.9917999999999996</v>
      </c>
      <c r="X298">
        <f t="shared" si="39"/>
        <v>4.9904999999999999</v>
      </c>
      <c r="Y298">
        <f t="shared" si="40"/>
        <v>4.9904000000000002</v>
      </c>
      <c r="Z298">
        <f t="shared" si="41"/>
        <v>246.16795180722892</v>
      </c>
      <c r="AA298">
        <f t="shared" si="42"/>
        <v>270.70317880794704</v>
      </c>
      <c r="AB298">
        <f t="shared" si="43"/>
        <v>649.97365079365079</v>
      </c>
      <c r="AC298">
        <f t="shared" si="44"/>
        <v>499.18000000000006</v>
      </c>
      <c r="AD298">
        <f t="shared" si="45"/>
        <v>430.75894736842105</v>
      </c>
      <c r="AE298">
        <f t="shared" si="46"/>
        <v>426.26333333333338</v>
      </c>
    </row>
    <row r="299" spans="1:31" x14ac:dyDescent="0.2">
      <c r="A299">
        <v>140</v>
      </c>
      <c r="B299">
        <v>16.5</v>
      </c>
      <c r="C299">
        <v>15.3</v>
      </c>
      <c r="D299">
        <v>6.2</v>
      </c>
      <c r="E299">
        <v>8.1999999999999993</v>
      </c>
      <c r="F299">
        <v>9.4</v>
      </c>
      <c r="G299">
        <v>9.5</v>
      </c>
      <c r="H299">
        <f t="shared" si="23"/>
        <v>1.6500000000000001E-2</v>
      </c>
      <c r="I299">
        <f t="shared" si="24"/>
        <v>1.5300000000000001E-2</v>
      </c>
      <c r="J299">
        <f t="shared" si="25"/>
        <v>6.1999999999999998E-3</v>
      </c>
      <c r="K299">
        <f t="shared" si="26"/>
        <v>8.199999999999999E-3</v>
      </c>
      <c r="L299">
        <f t="shared" si="27"/>
        <v>9.4000000000000004E-3</v>
      </c>
      <c r="M299">
        <f t="shared" si="28"/>
        <v>9.4999999999999998E-3</v>
      </c>
      <c r="N299">
        <f t="shared" si="29"/>
        <v>49696.969696969696</v>
      </c>
      <c r="O299">
        <f t="shared" si="30"/>
        <v>53594.771241830058</v>
      </c>
      <c r="P299">
        <f t="shared" si="31"/>
        <v>132258.06451612903</v>
      </c>
      <c r="Q299">
        <f t="shared" si="32"/>
        <v>100000.00000000001</v>
      </c>
      <c r="R299">
        <f t="shared" si="33"/>
        <v>87234.042553191481</v>
      </c>
      <c r="S299">
        <f t="shared" si="34"/>
        <v>86315.789473684214</v>
      </c>
      <c r="T299">
        <f t="shared" si="35"/>
        <v>4.9835000000000003</v>
      </c>
      <c r="U299">
        <f t="shared" si="36"/>
        <v>4.9847000000000001</v>
      </c>
      <c r="V299">
        <f t="shared" si="37"/>
        <v>4.9938000000000002</v>
      </c>
      <c r="W299">
        <f t="shared" si="38"/>
        <v>4.9917999999999996</v>
      </c>
      <c r="X299">
        <f t="shared" si="39"/>
        <v>4.9905999999999997</v>
      </c>
      <c r="Y299">
        <f t="shared" si="40"/>
        <v>4.9904999999999999</v>
      </c>
      <c r="Z299">
        <f t="shared" si="41"/>
        <v>247.66484848484848</v>
      </c>
      <c r="AA299">
        <f t="shared" si="42"/>
        <v>267.15385620915026</v>
      </c>
      <c r="AB299">
        <f t="shared" si="43"/>
        <v>660.47032258064519</v>
      </c>
      <c r="AC299">
        <f t="shared" si="44"/>
        <v>499.18000000000006</v>
      </c>
      <c r="AD299">
        <f t="shared" si="45"/>
        <v>435.35021276595739</v>
      </c>
      <c r="AE299">
        <f t="shared" si="46"/>
        <v>430.75894736842105</v>
      </c>
    </row>
    <row r="300" spans="1:31" x14ac:dyDescent="0.2">
      <c r="A300">
        <v>150</v>
      </c>
      <c r="B300">
        <v>16.3</v>
      </c>
      <c r="C300">
        <v>15.2</v>
      </c>
      <c r="D300">
        <v>6.1</v>
      </c>
      <c r="E300">
        <v>8.3000000000000007</v>
      </c>
      <c r="F300">
        <v>9.4</v>
      </c>
      <c r="G300">
        <v>9.5</v>
      </c>
      <c r="H300">
        <f t="shared" si="23"/>
        <v>1.6300000000000002E-2</v>
      </c>
      <c r="I300">
        <f t="shared" si="24"/>
        <v>1.52E-2</v>
      </c>
      <c r="J300">
        <f t="shared" si="25"/>
        <v>6.0999999999999995E-3</v>
      </c>
      <c r="K300">
        <f t="shared" si="26"/>
        <v>8.3000000000000001E-3</v>
      </c>
      <c r="L300">
        <f t="shared" si="27"/>
        <v>9.4000000000000004E-3</v>
      </c>
      <c r="M300">
        <f t="shared" si="28"/>
        <v>9.4999999999999998E-3</v>
      </c>
      <c r="N300">
        <f t="shared" si="29"/>
        <v>50306.748466257661</v>
      </c>
      <c r="O300">
        <f t="shared" si="30"/>
        <v>53947.368421052633</v>
      </c>
      <c r="P300">
        <f t="shared" si="31"/>
        <v>134426.22950819673</v>
      </c>
      <c r="Q300">
        <f t="shared" si="32"/>
        <v>98795.180722891571</v>
      </c>
      <c r="R300">
        <f t="shared" si="33"/>
        <v>87234.042553191481</v>
      </c>
      <c r="S300">
        <f t="shared" si="34"/>
        <v>86315.789473684214</v>
      </c>
      <c r="T300">
        <f t="shared" si="35"/>
        <v>4.9836999999999998</v>
      </c>
      <c r="U300">
        <f t="shared" si="36"/>
        <v>4.9847999999999999</v>
      </c>
      <c r="V300">
        <f t="shared" si="37"/>
        <v>4.9939</v>
      </c>
      <c r="W300">
        <f t="shared" si="38"/>
        <v>4.9916999999999998</v>
      </c>
      <c r="X300">
        <f t="shared" si="39"/>
        <v>4.9905999999999997</v>
      </c>
      <c r="Y300">
        <f t="shared" si="40"/>
        <v>4.9904999999999999</v>
      </c>
      <c r="Z300">
        <f t="shared" si="41"/>
        <v>250.7137423312883</v>
      </c>
      <c r="AA300">
        <f t="shared" si="42"/>
        <v>268.91684210526313</v>
      </c>
      <c r="AB300">
        <f t="shared" si="43"/>
        <v>671.3111475409836</v>
      </c>
      <c r="AC300">
        <f t="shared" si="44"/>
        <v>493.15590361445783</v>
      </c>
      <c r="AD300">
        <f t="shared" si="45"/>
        <v>435.35021276595739</v>
      </c>
      <c r="AE300">
        <f t="shared" si="46"/>
        <v>430.75894736842105</v>
      </c>
    </row>
    <row r="301" spans="1:31" x14ac:dyDescent="0.2">
      <c r="A301">
        <v>160</v>
      </c>
      <c r="B301">
        <v>16.2</v>
      </c>
      <c r="C301">
        <v>15.3</v>
      </c>
      <c r="D301">
        <v>6.2</v>
      </c>
      <c r="E301">
        <v>8.1999999999999993</v>
      </c>
      <c r="F301">
        <v>9.3000000000000007</v>
      </c>
      <c r="G301">
        <v>9.5</v>
      </c>
      <c r="H301">
        <f t="shared" si="23"/>
        <v>1.6199999999999999E-2</v>
      </c>
      <c r="I301">
        <f t="shared" si="24"/>
        <v>1.5300000000000001E-2</v>
      </c>
      <c r="J301">
        <f t="shared" si="25"/>
        <v>6.1999999999999998E-3</v>
      </c>
      <c r="K301">
        <f t="shared" si="26"/>
        <v>8.199999999999999E-3</v>
      </c>
      <c r="L301">
        <f t="shared" si="27"/>
        <v>9.300000000000001E-3</v>
      </c>
      <c r="M301">
        <f t="shared" si="28"/>
        <v>9.4999999999999998E-3</v>
      </c>
      <c r="N301">
        <f t="shared" si="29"/>
        <v>50617.28395061729</v>
      </c>
      <c r="O301">
        <f t="shared" si="30"/>
        <v>53594.771241830058</v>
      </c>
      <c r="P301">
        <f t="shared" si="31"/>
        <v>132258.06451612903</v>
      </c>
      <c r="Q301">
        <f t="shared" si="32"/>
        <v>100000.00000000001</v>
      </c>
      <c r="R301">
        <f t="shared" si="33"/>
        <v>88172.043010752677</v>
      </c>
      <c r="S301">
        <f t="shared" si="34"/>
        <v>86315.789473684214</v>
      </c>
      <c r="T301">
        <f t="shared" si="35"/>
        <v>4.9837999999999996</v>
      </c>
      <c r="U301">
        <f t="shared" si="36"/>
        <v>4.9847000000000001</v>
      </c>
      <c r="V301">
        <f t="shared" si="37"/>
        <v>4.9938000000000002</v>
      </c>
      <c r="W301">
        <f t="shared" si="38"/>
        <v>4.9917999999999996</v>
      </c>
      <c r="X301">
        <f t="shared" si="39"/>
        <v>4.9907000000000004</v>
      </c>
      <c r="Y301">
        <f t="shared" si="40"/>
        <v>4.9904999999999999</v>
      </c>
      <c r="Z301">
        <f t="shared" si="41"/>
        <v>252.26641975308644</v>
      </c>
      <c r="AA301">
        <f t="shared" si="42"/>
        <v>267.15385620915026</v>
      </c>
      <c r="AB301">
        <f t="shared" si="43"/>
        <v>660.47032258064519</v>
      </c>
      <c r="AC301">
        <f t="shared" si="44"/>
        <v>499.18000000000006</v>
      </c>
      <c r="AD301">
        <f t="shared" si="45"/>
        <v>440.0402150537634</v>
      </c>
      <c r="AE301">
        <f t="shared" si="46"/>
        <v>430.75894736842105</v>
      </c>
    </row>
    <row r="302" spans="1:31" x14ac:dyDescent="0.2">
      <c r="A302">
        <v>170</v>
      </c>
      <c r="B302">
        <v>16</v>
      </c>
      <c r="C302">
        <v>15.2</v>
      </c>
      <c r="D302">
        <v>6.1</v>
      </c>
      <c r="E302">
        <v>8.1999999999999993</v>
      </c>
      <c r="F302">
        <v>9.4</v>
      </c>
      <c r="G302">
        <v>9.4</v>
      </c>
      <c r="H302">
        <f t="shared" si="23"/>
        <v>1.6E-2</v>
      </c>
      <c r="I302">
        <f t="shared" si="24"/>
        <v>1.52E-2</v>
      </c>
      <c r="J302">
        <f t="shared" si="25"/>
        <v>6.0999999999999995E-3</v>
      </c>
      <c r="K302">
        <f t="shared" si="26"/>
        <v>8.199999999999999E-3</v>
      </c>
      <c r="L302">
        <f t="shared" si="27"/>
        <v>9.4000000000000004E-3</v>
      </c>
      <c r="M302">
        <f t="shared" si="28"/>
        <v>9.4000000000000004E-3</v>
      </c>
      <c r="N302">
        <f t="shared" si="29"/>
        <v>51250</v>
      </c>
      <c r="O302">
        <f t="shared" si="30"/>
        <v>53947.368421052633</v>
      </c>
      <c r="P302">
        <f t="shared" si="31"/>
        <v>134426.22950819673</v>
      </c>
      <c r="Q302">
        <f t="shared" si="32"/>
        <v>100000.00000000001</v>
      </c>
      <c r="R302">
        <f t="shared" si="33"/>
        <v>87234.042553191481</v>
      </c>
      <c r="S302">
        <f t="shared" si="34"/>
        <v>87234.042553191481</v>
      </c>
      <c r="T302">
        <f t="shared" si="35"/>
        <v>4.984</v>
      </c>
      <c r="U302">
        <f t="shared" si="36"/>
        <v>4.9847999999999999</v>
      </c>
      <c r="V302">
        <f t="shared" si="37"/>
        <v>4.9939</v>
      </c>
      <c r="W302">
        <f t="shared" si="38"/>
        <v>4.9917999999999996</v>
      </c>
      <c r="X302">
        <f t="shared" si="39"/>
        <v>4.9905999999999997</v>
      </c>
      <c r="Y302">
        <f t="shared" si="40"/>
        <v>4.9905999999999997</v>
      </c>
      <c r="Z302">
        <f t="shared" si="41"/>
        <v>255.43</v>
      </c>
      <c r="AA302">
        <f t="shared" si="42"/>
        <v>268.91684210526313</v>
      </c>
      <c r="AB302">
        <f t="shared" si="43"/>
        <v>671.3111475409836</v>
      </c>
      <c r="AC302">
        <f t="shared" si="44"/>
        <v>499.18000000000006</v>
      </c>
      <c r="AD302">
        <f t="shared" si="45"/>
        <v>435.35021276595739</v>
      </c>
      <c r="AE302">
        <f t="shared" si="46"/>
        <v>435.35021276595739</v>
      </c>
    </row>
    <row r="303" spans="1:31" x14ac:dyDescent="0.2">
      <c r="A303">
        <v>180</v>
      </c>
      <c r="B303">
        <v>16.2</v>
      </c>
      <c r="C303">
        <v>15.3</v>
      </c>
      <c r="D303">
        <v>5.9</v>
      </c>
      <c r="E303">
        <v>8.3000000000000007</v>
      </c>
      <c r="F303">
        <v>9.1999999999999993</v>
      </c>
      <c r="G303">
        <v>9.4</v>
      </c>
      <c r="H303">
        <f t="shared" si="23"/>
        <v>1.6199999999999999E-2</v>
      </c>
      <c r="I303">
        <f t="shared" si="24"/>
        <v>1.5300000000000001E-2</v>
      </c>
      <c r="J303">
        <f t="shared" si="25"/>
        <v>5.9000000000000007E-3</v>
      </c>
      <c r="K303">
        <f t="shared" si="26"/>
        <v>8.3000000000000001E-3</v>
      </c>
      <c r="L303">
        <f t="shared" si="27"/>
        <v>9.1999999999999998E-3</v>
      </c>
      <c r="M303">
        <f t="shared" si="28"/>
        <v>9.4000000000000004E-3</v>
      </c>
      <c r="N303">
        <f t="shared" si="29"/>
        <v>50617.28395061729</v>
      </c>
      <c r="O303">
        <f t="shared" si="30"/>
        <v>53594.771241830058</v>
      </c>
      <c r="P303">
        <f t="shared" si="31"/>
        <v>138983.05084745761</v>
      </c>
      <c r="Q303">
        <f t="shared" si="32"/>
        <v>98795.180722891571</v>
      </c>
      <c r="R303">
        <f t="shared" si="33"/>
        <v>89130.434782608703</v>
      </c>
      <c r="S303">
        <f t="shared" si="34"/>
        <v>87234.042553191481</v>
      </c>
      <c r="T303">
        <f t="shared" si="35"/>
        <v>4.9837999999999996</v>
      </c>
      <c r="U303">
        <f t="shared" si="36"/>
        <v>4.9847000000000001</v>
      </c>
      <c r="V303">
        <f t="shared" si="37"/>
        <v>4.9941000000000004</v>
      </c>
      <c r="W303">
        <f t="shared" si="38"/>
        <v>4.9916999999999998</v>
      </c>
      <c r="X303">
        <f t="shared" si="39"/>
        <v>4.9908000000000001</v>
      </c>
      <c r="Y303">
        <f t="shared" si="40"/>
        <v>4.9905999999999997</v>
      </c>
      <c r="Z303">
        <f t="shared" si="41"/>
        <v>252.26641975308644</v>
      </c>
      <c r="AA303">
        <f t="shared" si="42"/>
        <v>267.15385620915026</v>
      </c>
      <c r="AB303">
        <f t="shared" si="43"/>
        <v>694.09525423728815</v>
      </c>
      <c r="AC303">
        <f t="shared" si="44"/>
        <v>493.15590361445783</v>
      </c>
      <c r="AD303">
        <f t="shared" si="45"/>
        <v>444.8321739130435</v>
      </c>
      <c r="AE303">
        <f t="shared" si="46"/>
        <v>435.35021276595739</v>
      </c>
    </row>
    <row r="304" spans="1:31" x14ac:dyDescent="0.2">
      <c r="A304">
        <v>190</v>
      </c>
      <c r="B304">
        <v>15.8</v>
      </c>
      <c r="C304">
        <v>15.2</v>
      </c>
      <c r="D304">
        <v>6</v>
      </c>
      <c r="E304">
        <v>8.1999999999999993</v>
      </c>
      <c r="F304">
        <v>9.1999999999999993</v>
      </c>
      <c r="G304">
        <v>9.4</v>
      </c>
      <c r="H304">
        <f t="shared" si="23"/>
        <v>1.5800000000000002E-2</v>
      </c>
      <c r="I304">
        <f t="shared" si="24"/>
        <v>1.52E-2</v>
      </c>
      <c r="J304">
        <f t="shared" si="25"/>
        <v>6.0000000000000001E-3</v>
      </c>
      <c r="K304">
        <f t="shared" si="26"/>
        <v>8.199999999999999E-3</v>
      </c>
      <c r="L304">
        <f t="shared" si="27"/>
        <v>9.1999999999999998E-3</v>
      </c>
      <c r="M304">
        <f t="shared" si="28"/>
        <v>9.4000000000000004E-3</v>
      </c>
      <c r="N304">
        <f t="shared" si="29"/>
        <v>51898.734177215185</v>
      </c>
      <c r="O304">
        <f t="shared" si="30"/>
        <v>53947.368421052633</v>
      </c>
      <c r="P304">
        <f t="shared" si="31"/>
        <v>136666.66666666666</v>
      </c>
      <c r="Q304">
        <f t="shared" si="32"/>
        <v>100000.00000000001</v>
      </c>
      <c r="R304">
        <f t="shared" si="33"/>
        <v>89130.434782608703</v>
      </c>
      <c r="S304">
        <f t="shared" si="34"/>
        <v>87234.042553191481</v>
      </c>
      <c r="T304">
        <f t="shared" si="35"/>
        <v>4.9842000000000004</v>
      </c>
      <c r="U304">
        <f t="shared" si="36"/>
        <v>4.9847999999999999</v>
      </c>
      <c r="V304">
        <f t="shared" si="37"/>
        <v>4.9939999999999998</v>
      </c>
      <c r="W304">
        <f t="shared" si="38"/>
        <v>4.9917999999999996</v>
      </c>
      <c r="X304">
        <f t="shared" si="39"/>
        <v>4.9908000000000001</v>
      </c>
      <c r="Y304">
        <f t="shared" si="40"/>
        <v>4.9905999999999997</v>
      </c>
      <c r="Z304">
        <f t="shared" si="41"/>
        <v>258.67367088607591</v>
      </c>
      <c r="AA304">
        <f t="shared" si="42"/>
        <v>268.91684210526313</v>
      </c>
      <c r="AB304">
        <f t="shared" si="43"/>
        <v>682.51333333333321</v>
      </c>
      <c r="AC304">
        <f t="shared" si="44"/>
        <v>499.18000000000006</v>
      </c>
      <c r="AD304">
        <f t="shared" si="45"/>
        <v>444.8321739130435</v>
      </c>
      <c r="AE304">
        <f t="shared" si="46"/>
        <v>435.35021276595739</v>
      </c>
    </row>
    <row r="305" spans="1:31" x14ac:dyDescent="0.2">
      <c r="A305">
        <v>200</v>
      </c>
      <c r="B305">
        <v>15.7</v>
      </c>
      <c r="C305">
        <v>15.3</v>
      </c>
      <c r="D305">
        <v>5.9</v>
      </c>
      <c r="E305">
        <v>8.1999999999999993</v>
      </c>
      <c r="F305">
        <v>9.1</v>
      </c>
      <c r="G305">
        <v>9.4</v>
      </c>
      <c r="H305">
        <f t="shared" si="23"/>
        <v>1.5699999999999999E-2</v>
      </c>
      <c r="I305">
        <f t="shared" si="24"/>
        <v>1.5300000000000001E-2</v>
      </c>
      <c r="J305">
        <f t="shared" si="25"/>
        <v>5.9000000000000007E-3</v>
      </c>
      <c r="K305">
        <f t="shared" si="26"/>
        <v>8.199999999999999E-3</v>
      </c>
      <c r="L305">
        <f t="shared" si="27"/>
        <v>9.1000000000000004E-3</v>
      </c>
      <c r="M305">
        <f t="shared" si="28"/>
        <v>9.4000000000000004E-3</v>
      </c>
      <c r="N305">
        <f t="shared" si="29"/>
        <v>52229.299363057333</v>
      </c>
      <c r="O305">
        <f t="shared" si="30"/>
        <v>53594.771241830058</v>
      </c>
      <c r="P305">
        <f t="shared" si="31"/>
        <v>138983.05084745761</v>
      </c>
      <c r="Q305">
        <f t="shared" si="32"/>
        <v>100000.00000000001</v>
      </c>
      <c r="R305">
        <f t="shared" si="33"/>
        <v>90109.890109890111</v>
      </c>
      <c r="S305">
        <f t="shared" si="34"/>
        <v>87234.042553191481</v>
      </c>
      <c r="T305">
        <f t="shared" si="35"/>
        <v>4.9843000000000002</v>
      </c>
      <c r="U305">
        <f t="shared" si="36"/>
        <v>4.9847000000000001</v>
      </c>
      <c r="V305">
        <f t="shared" si="37"/>
        <v>4.9941000000000004</v>
      </c>
      <c r="W305">
        <f t="shared" si="38"/>
        <v>4.9917999999999996</v>
      </c>
      <c r="X305">
        <f t="shared" si="39"/>
        <v>4.9908999999999999</v>
      </c>
      <c r="Y305">
        <f t="shared" si="40"/>
        <v>4.9905999999999997</v>
      </c>
      <c r="Z305">
        <f t="shared" si="41"/>
        <v>260.32649681528665</v>
      </c>
      <c r="AA305">
        <f t="shared" si="42"/>
        <v>267.15385620915026</v>
      </c>
      <c r="AB305">
        <f t="shared" si="43"/>
        <v>694.09525423728815</v>
      </c>
      <c r="AC305">
        <f t="shared" si="44"/>
        <v>499.18000000000006</v>
      </c>
      <c r="AD305">
        <f t="shared" si="45"/>
        <v>449.72945054945052</v>
      </c>
      <c r="AE305">
        <f t="shared" si="46"/>
        <v>435.35021276595739</v>
      </c>
    </row>
    <row r="306" spans="1:31" x14ac:dyDescent="0.2">
      <c r="A306">
        <v>210</v>
      </c>
      <c r="B306">
        <v>15.8</v>
      </c>
      <c r="C306">
        <v>15.2</v>
      </c>
      <c r="D306">
        <v>5.8</v>
      </c>
      <c r="E306">
        <v>8.1999999999999993</v>
      </c>
      <c r="F306">
        <v>9.1999999999999993</v>
      </c>
      <c r="G306">
        <v>9.4</v>
      </c>
      <c r="H306">
        <f t="shared" si="23"/>
        <v>1.5800000000000002E-2</v>
      </c>
      <c r="I306">
        <f t="shared" si="24"/>
        <v>1.52E-2</v>
      </c>
      <c r="J306">
        <f t="shared" si="25"/>
        <v>5.7999999999999996E-3</v>
      </c>
      <c r="K306">
        <f t="shared" si="26"/>
        <v>8.199999999999999E-3</v>
      </c>
      <c r="L306">
        <f t="shared" si="27"/>
        <v>9.1999999999999998E-3</v>
      </c>
      <c r="M306">
        <f t="shared" si="28"/>
        <v>9.4000000000000004E-3</v>
      </c>
      <c r="N306">
        <f t="shared" si="29"/>
        <v>51898.734177215185</v>
      </c>
      <c r="O306">
        <f t="shared" si="30"/>
        <v>53947.368421052633</v>
      </c>
      <c r="P306">
        <f t="shared" si="31"/>
        <v>141379.31034482759</v>
      </c>
      <c r="Q306">
        <f t="shared" si="32"/>
        <v>100000.00000000001</v>
      </c>
      <c r="R306">
        <f t="shared" si="33"/>
        <v>89130.434782608703</v>
      </c>
      <c r="S306">
        <f t="shared" si="34"/>
        <v>87234.042553191481</v>
      </c>
      <c r="T306">
        <f t="shared" si="35"/>
        <v>4.9842000000000004</v>
      </c>
      <c r="U306">
        <f t="shared" si="36"/>
        <v>4.9847999999999999</v>
      </c>
      <c r="V306">
        <f t="shared" si="37"/>
        <v>4.9942000000000002</v>
      </c>
      <c r="W306">
        <f t="shared" si="38"/>
        <v>4.9917999999999996</v>
      </c>
      <c r="X306">
        <f t="shared" si="39"/>
        <v>4.9908000000000001</v>
      </c>
      <c r="Y306">
        <f t="shared" si="40"/>
        <v>4.9905999999999997</v>
      </c>
      <c r="Z306">
        <f t="shared" si="41"/>
        <v>258.67367088607591</v>
      </c>
      <c r="AA306">
        <f t="shared" si="42"/>
        <v>268.91684210526313</v>
      </c>
      <c r="AB306">
        <f t="shared" si="43"/>
        <v>706.07655172413797</v>
      </c>
      <c r="AC306">
        <f t="shared" si="44"/>
        <v>499.18000000000006</v>
      </c>
      <c r="AD306">
        <f t="shared" si="45"/>
        <v>444.8321739130435</v>
      </c>
      <c r="AE306">
        <f t="shared" si="46"/>
        <v>435.35021276595739</v>
      </c>
    </row>
    <row r="307" spans="1:31" x14ac:dyDescent="0.2">
      <c r="A307">
        <v>220</v>
      </c>
      <c r="B307">
        <v>15.7</v>
      </c>
      <c r="C307">
        <v>15.2</v>
      </c>
      <c r="D307">
        <v>5.8</v>
      </c>
      <c r="E307">
        <v>8.3000000000000007</v>
      </c>
      <c r="F307">
        <v>9.1</v>
      </c>
      <c r="G307">
        <v>9.5</v>
      </c>
      <c r="H307">
        <f t="shared" si="23"/>
        <v>1.5699999999999999E-2</v>
      </c>
      <c r="I307">
        <f t="shared" si="24"/>
        <v>1.52E-2</v>
      </c>
      <c r="J307">
        <f t="shared" si="25"/>
        <v>5.7999999999999996E-3</v>
      </c>
      <c r="K307">
        <f t="shared" si="26"/>
        <v>8.3000000000000001E-3</v>
      </c>
      <c r="L307">
        <f t="shared" si="27"/>
        <v>9.1000000000000004E-3</v>
      </c>
      <c r="M307">
        <f t="shared" si="28"/>
        <v>9.4999999999999998E-3</v>
      </c>
      <c r="N307">
        <f t="shared" si="29"/>
        <v>52229.299363057333</v>
      </c>
      <c r="O307">
        <f t="shared" si="30"/>
        <v>53947.368421052633</v>
      </c>
      <c r="P307">
        <f t="shared" si="31"/>
        <v>141379.31034482759</v>
      </c>
      <c r="Q307">
        <f t="shared" si="32"/>
        <v>98795.180722891571</v>
      </c>
      <c r="R307">
        <f t="shared" si="33"/>
        <v>90109.890109890111</v>
      </c>
      <c r="S307">
        <f t="shared" si="34"/>
        <v>86315.789473684214</v>
      </c>
      <c r="T307">
        <f t="shared" si="35"/>
        <v>4.9843000000000002</v>
      </c>
      <c r="U307">
        <f t="shared" si="36"/>
        <v>4.9847999999999999</v>
      </c>
      <c r="V307">
        <f t="shared" si="37"/>
        <v>4.9942000000000002</v>
      </c>
      <c r="W307">
        <f t="shared" si="38"/>
        <v>4.9916999999999998</v>
      </c>
      <c r="X307">
        <f t="shared" si="39"/>
        <v>4.9908999999999999</v>
      </c>
      <c r="Y307">
        <f t="shared" si="40"/>
        <v>4.9904999999999999</v>
      </c>
      <c r="Z307">
        <f t="shared" si="41"/>
        <v>260.32649681528665</v>
      </c>
      <c r="AA307">
        <f t="shared" si="42"/>
        <v>268.91684210526313</v>
      </c>
      <c r="AB307">
        <f t="shared" si="43"/>
        <v>706.07655172413797</v>
      </c>
      <c r="AC307">
        <f t="shared" si="44"/>
        <v>493.15590361445783</v>
      </c>
      <c r="AD307">
        <f t="shared" si="45"/>
        <v>449.72945054945052</v>
      </c>
      <c r="AE307">
        <f t="shared" si="46"/>
        <v>430.75894736842105</v>
      </c>
    </row>
    <row r="308" spans="1:31" x14ac:dyDescent="0.2">
      <c r="A308">
        <v>230</v>
      </c>
      <c r="B308">
        <v>16</v>
      </c>
      <c r="C308">
        <v>15.1</v>
      </c>
      <c r="D308">
        <v>5.8</v>
      </c>
      <c r="E308">
        <v>8.1999999999999993</v>
      </c>
      <c r="F308">
        <v>9.1</v>
      </c>
      <c r="G308">
        <v>9.4</v>
      </c>
      <c r="H308">
        <f t="shared" si="23"/>
        <v>1.6E-2</v>
      </c>
      <c r="I308">
        <f t="shared" si="24"/>
        <v>1.5099999999999999E-2</v>
      </c>
      <c r="J308">
        <f t="shared" si="25"/>
        <v>5.7999999999999996E-3</v>
      </c>
      <c r="K308">
        <f t="shared" si="26"/>
        <v>8.199999999999999E-3</v>
      </c>
      <c r="L308">
        <f t="shared" si="27"/>
        <v>9.1000000000000004E-3</v>
      </c>
      <c r="M308">
        <f t="shared" si="28"/>
        <v>9.4000000000000004E-3</v>
      </c>
      <c r="N308">
        <f t="shared" si="29"/>
        <v>51250</v>
      </c>
      <c r="O308">
        <f t="shared" si="30"/>
        <v>54304.635761589409</v>
      </c>
      <c r="P308">
        <f t="shared" si="31"/>
        <v>141379.31034482759</v>
      </c>
      <c r="Q308">
        <f t="shared" si="32"/>
        <v>100000.00000000001</v>
      </c>
      <c r="R308">
        <f t="shared" si="33"/>
        <v>90109.890109890111</v>
      </c>
      <c r="S308">
        <f t="shared" si="34"/>
        <v>87234.042553191481</v>
      </c>
      <c r="T308">
        <f t="shared" si="35"/>
        <v>4.984</v>
      </c>
      <c r="U308">
        <f t="shared" si="36"/>
        <v>4.9848999999999997</v>
      </c>
      <c r="V308">
        <f t="shared" si="37"/>
        <v>4.9942000000000002</v>
      </c>
      <c r="W308">
        <f t="shared" si="38"/>
        <v>4.9917999999999996</v>
      </c>
      <c r="X308">
        <f t="shared" si="39"/>
        <v>4.9908999999999999</v>
      </c>
      <c r="Y308">
        <f t="shared" si="40"/>
        <v>4.9905999999999997</v>
      </c>
      <c r="Z308">
        <f t="shared" si="41"/>
        <v>255.43</v>
      </c>
      <c r="AA308">
        <f t="shared" si="42"/>
        <v>270.70317880794704</v>
      </c>
      <c r="AB308">
        <f t="shared" si="43"/>
        <v>706.07655172413797</v>
      </c>
      <c r="AC308">
        <f t="shared" si="44"/>
        <v>499.18000000000006</v>
      </c>
      <c r="AD308">
        <f t="shared" si="45"/>
        <v>449.72945054945052</v>
      </c>
      <c r="AE308">
        <f t="shared" si="46"/>
        <v>435.35021276595739</v>
      </c>
    </row>
    <row r="309" spans="1:31" x14ac:dyDescent="0.2">
      <c r="A309">
        <v>240</v>
      </c>
      <c r="B309">
        <v>15.9</v>
      </c>
      <c r="C309">
        <v>14.9</v>
      </c>
      <c r="D309">
        <v>5.8</v>
      </c>
      <c r="E309">
        <v>8.3000000000000007</v>
      </c>
      <c r="F309">
        <v>9.1</v>
      </c>
      <c r="G309">
        <v>9.3000000000000007</v>
      </c>
      <c r="H309">
        <f t="shared" si="23"/>
        <v>1.5900000000000001E-2</v>
      </c>
      <c r="I309">
        <f t="shared" si="24"/>
        <v>1.49E-2</v>
      </c>
      <c r="J309">
        <f t="shared" si="25"/>
        <v>5.7999999999999996E-3</v>
      </c>
      <c r="K309">
        <f t="shared" si="26"/>
        <v>8.3000000000000001E-3</v>
      </c>
      <c r="L309">
        <f t="shared" si="27"/>
        <v>9.1000000000000004E-3</v>
      </c>
      <c r="M309">
        <f t="shared" si="28"/>
        <v>9.300000000000001E-3</v>
      </c>
      <c r="N309">
        <f t="shared" si="29"/>
        <v>51572.327044025151</v>
      </c>
      <c r="O309">
        <f t="shared" si="30"/>
        <v>55033.557046979862</v>
      </c>
      <c r="P309">
        <f t="shared" si="31"/>
        <v>141379.31034482759</v>
      </c>
      <c r="Q309">
        <f t="shared" si="32"/>
        <v>98795.180722891571</v>
      </c>
      <c r="R309">
        <f t="shared" si="33"/>
        <v>90109.890109890111</v>
      </c>
      <c r="S309">
        <f t="shared" si="34"/>
        <v>88172.043010752677</v>
      </c>
      <c r="T309">
        <f t="shared" si="35"/>
        <v>4.9840999999999998</v>
      </c>
      <c r="U309">
        <f t="shared" si="36"/>
        <v>4.9851000000000001</v>
      </c>
      <c r="V309">
        <f t="shared" si="37"/>
        <v>4.9942000000000002</v>
      </c>
      <c r="W309">
        <f t="shared" si="38"/>
        <v>4.9916999999999998</v>
      </c>
      <c r="X309">
        <f t="shared" si="39"/>
        <v>4.9908999999999999</v>
      </c>
      <c r="Y309">
        <f t="shared" si="40"/>
        <v>4.9907000000000004</v>
      </c>
      <c r="Z309">
        <f t="shared" si="41"/>
        <v>257.04163522012573</v>
      </c>
      <c r="AA309">
        <f t="shared" si="42"/>
        <v>274.34778523489933</v>
      </c>
      <c r="AB309">
        <f t="shared" si="43"/>
        <v>706.07655172413797</v>
      </c>
      <c r="AC309">
        <f t="shared" si="44"/>
        <v>493.15590361445783</v>
      </c>
      <c r="AD309">
        <f t="shared" si="45"/>
        <v>449.72945054945052</v>
      </c>
      <c r="AE309">
        <f t="shared" si="46"/>
        <v>440.0402150537634</v>
      </c>
    </row>
    <row r="310" spans="1:31" x14ac:dyDescent="0.2">
      <c r="A310">
        <v>250</v>
      </c>
      <c r="B310">
        <v>16.100000000000001</v>
      </c>
      <c r="C310">
        <v>15.1</v>
      </c>
      <c r="D310">
        <v>5.8</v>
      </c>
      <c r="E310">
        <v>8.3000000000000007</v>
      </c>
      <c r="F310">
        <v>9</v>
      </c>
      <c r="G310">
        <v>9.1999999999999993</v>
      </c>
      <c r="H310">
        <f t="shared" si="23"/>
        <v>1.61E-2</v>
      </c>
      <c r="I310">
        <f t="shared" si="24"/>
        <v>1.5099999999999999E-2</v>
      </c>
      <c r="J310">
        <f t="shared" si="25"/>
        <v>5.7999999999999996E-3</v>
      </c>
      <c r="K310">
        <f t="shared" si="26"/>
        <v>8.3000000000000001E-3</v>
      </c>
      <c r="L310">
        <f t="shared" si="27"/>
        <v>8.9999999999999993E-3</v>
      </c>
      <c r="M310">
        <f t="shared" si="28"/>
        <v>9.1999999999999998E-3</v>
      </c>
      <c r="N310">
        <f t="shared" si="29"/>
        <v>50931.677018633542</v>
      </c>
      <c r="O310">
        <f t="shared" si="30"/>
        <v>54304.635761589409</v>
      </c>
      <c r="P310">
        <f t="shared" si="31"/>
        <v>141379.31034482759</v>
      </c>
      <c r="Q310">
        <f t="shared" si="32"/>
        <v>98795.180722891571</v>
      </c>
      <c r="R310">
        <f t="shared" si="33"/>
        <v>91111.111111111124</v>
      </c>
      <c r="S310">
        <f t="shared" si="34"/>
        <v>89130.434782608703</v>
      </c>
      <c r="T310">
        <f t="shared" si="35"/>
        <v>4.9839000000000002</v>
      </c>
      <c r="U310">
        <f t="shared" si="36"/>
        <v>4.9848999999999997</v>
      </c>
      <c r="V310">
        <f t="shared" si="37"/>
        <v>4.9942000000000002</v>
      </c>
      <c r="W310">
        <f t="shared" si="38"/>
        <v>4.9916999999999998</v>
      </c>
      <c r="X310">
        <f t="shared" si="39"/>
        <v>4.9909999999999997</v>
      </c>
      <c r="Y310">
        <f t="shared" si="40"/>
        <v>4.9908000000000001</v>
      </c>
      <c r="Z310">
        <f t="shared" si="41"/>
        <v>253.83838509316772</v>
      </c>
      <c r="AA310">
        <f t="shared" si="42"/>
        <v>270.70317880794704</v>
      </c>
      <c r="AB310">
        <f t="shared" si="43"/>
        <v>706.07655172413797</v>
      </c>
      <c r="AC310">
        <f t="shared" si="44"/>
        <v>493.15590361445783</v>
      </c>
      <c r="AD310">
        <f t="shared" si="45"/>
        <v>454.73555555555555</v>
      </c>
      <c r="AE310">
        <f t="shared" si="46"/>
        <v>444.8321739130435</v>
      </c>
    </row>
    <row r="311" spans="1:31" x14ac:dyDescent="0.2">
      <c r="A311">
        <v>260</v>
      </c>
      <c r="B311">
        <v>16.100000000000001</v>
      </c>
      <c r="C311">
        <v>15.2</v>
      </c>
      <c r="D311">
        <v>5.8</v>
      </c>
      <c r="E311">
        <v>8.3000000000000007</v>
      </c>
      <c r="F311">
        <v>9</v>
      </c>
      <c r="G311">
        <v>9.3000000000000007</v>
      </c>
      <c r="H311">
        <f t="shared" si="23"/>
        <v>1.61E-2</v>
      </c>
      <c r="I311">
        <f t="shared" si="24"/>
        <v>1.52E-2</v>
      </c>
      <c r="J311">
        <f t="shared" si="25"/>
        <v>5.7999999999999996E-3</v>
      </c>
      <c r="K311">
        <f t="shared" si="26"/>
        <v>8.3000000000000001E-3</v>
      </c>
      <c r="L311">
        <f t="shared" si="27"/>
        <v>8.9999999999999993E-3</v>
      </c>
      <c r="M311">
        <f t="shared" si="28"/>
        <v>9.300000000000001E-3</v>
      </c>
      <c r="N311">
        <f t="shared" si="29"/>
        <v>50931.677018633542</v>
      </c>
      <c r="O311">
        <f t="shared" si="30"/>
        <v>53947.368421052633</v>
      </c>
      <c r="P311">
        <f t="shared" si="31"/>
        <v>141379.31034482759</v>
      </c>
      <c r="Q311">
        <f t="shared" si="32"/>
        <v>98795.180722891571</v>
      </c>
      <c r="R311">
        <f t="shared" si="33"/>
        <v>91111.111111111124</v>
      </c>
      <c r="S311">
        <f t="shared" si="34"/>
        <v>88172.043010752677</v>
      </c>
      <c r="T311">
        <f t="shared" si="35"/>
        <v>4.9839000000000002</v>
      </c>
      <c r="U311">
        <f t="shared" si="36"/>
        <v>4.9847999999999999</v>
      </c>
      <c r="V311">
        <f t="shared" si="37"/>
        <v>4.9942000000000002</v>
      </c>
      <c r="W311">
        <f t="shared" si="38"/>
        <v>4.9916999999999998</v>
      </c>
      <c r="X311">
        <f t="shared" si="39"/>
        <v>4.9909999999999997</v>
      </c>
      <c r="Y311">
        <f t="shared" si="40"/>
        <v>4.9907000000000004</v>
      </c>
      <c r="Z311">
        <f t="shared" si="41"/>
        <v>253.83838509316772</v>
      </c>
      <c r="AA311">
        <f t="shared" si="42"/>
        <v>268.91684210526313</v>
      </c>
      <c r="AB311">
        <f t="shared" si="43"/>
        <v>706.07655172413797</v>
      </c>
      <c r="AC311">
        <f t="shared" si="44"/>
        <v>493.15590361445783</v>
      </c>
      <c r="AD311">
        <f t="shared" si="45"/>
        <v>454.73555555555555</v>
      </c>
      <c r="AE311">
        <f t="shared" si="46"/>
        <v>440.0402150537634</v>
      </c>
    </row>
    <row r="312" spans="1:31" x14ac:dyDescent="0.2">
      <c r="A312">
        <v>270</v>
      </c>
      <c r="B312">
        <v>16</v>
      </c>
      <c r="C312">
        <v>15.1</v>
      </c>
      <c r="D312">
        <v>5.8</v>
      </c>
      <c r="E312">
        <v>8.3000000000000007</v>
      </c>
      <c r="F312">
        <v>8.8000000000000007</v>
      </c>
      <c r="G312">
        <v>9.3000000000000007</v>
      </c>
      <c r="H312">
        <f t="shared" si="23"/>
        <v>1.6E-2</v>
      </c>
      <c r="I312">
        <f t="shared" si="24"/>
        <v>1.5099999999999999E-2</v>
      </c>
      <c r="J312">
        <f t="shared" si="25"/>
        <v>5.7999999999999996E-3</v>
      </c>
      <c r="K312">
        <f t="shared" si="26"/>
        <v>8.3000000000000001E-3</v>
      </c>
      <c r="L312">
        <f t="shared" si="27"/>
        <v>8.8000000000000005E-3</v>
      </c>
      <c r="M312">
        <f t="shared" si="28"/>
        <v>9.300000000000001E-3</v>
      </c>
      <c r="N312">
        <f t="shared" si="29"/>
        <v>51250</v>
      </c>
      <c r="O312">
        <f t="shared" si="30"/>
        <v>54304.635761589409</v>
      </c>
      <c r="P312">
        <f t="shared" si="31"/>
        <v>141379.31034482759</v>
      </c>
      <c r="Q312">
        <f t="shared" si="32"/>
        <v>98795.180722891571</v>
      </c>
      <c r="R312">
        <f t="shared" si="33"/>
        <v>93181.818181818177</v>
      </c>
      <c r="S312">
        <f t="shared" si="34"/>
        <v>88172.043010752677</v>
      </c>
      <c r="T312">
        <f t="shared" si="35"/>
        <v>4.984</v>
      </c>
      <c r="U312">
        <f t="shared" si="36"/>
        <v>4.9848999999999997</v>
      </c>
      <c r="V312">
        <f t="shared" si="37"/>
        <v>4.9942000000000002</v>
      </c>
      <c r="W312">
        <f t="shared" si="38"/>
        <v>4.9916999999999998</v>
      </c>
      <c r="X312">
        <f t="shared" si="39"/>
        <v>4.9912000000000001</v>
      </c>
      <c r="Y312">
        <f t="shared" si="40"/>
        <v>4.9907000000000004</v>
      </c>
      <c r="Z312">
        <f t="shared" si="41"/>
        <v>255.43</v>
      </c>
      <c r="AA312">
        <f t="shared" si="42"/>
        <v>270.70317880794704</v>
      </c>
      <c r="AB312">
        <f t="shared" si="43"/>
        <v>706.07655172413797</v>
      </c>
      <c r="AC312">
        <f t="shared" si="44"/>
        <v>493.15590361445783</v>
      </c>
      <c r="AD312">
        <f t="shared" si="45"/>
        <v>465.08909090909088</v>
      </c>
      <c r="AE312">
        <f t="shared" si="46"/>
        <v>440.0402150537634</v>
      </c>
    </row>
    <row r="313" spans="1:31" x14ac:dyDescent="0.2">
      <c r="A313">
        <v>280</v>
      </c>
      <c r="B313">
        <v>16.100000000000001</v>
      </c>
      <c r="C313">
        <v>15</v>
      </c>
      <c r="D313">
        <v>5.7</v>
      </c>
      <c r="E313">
        <v>8.3000000000000007</v>
      </c>
      <c r="F313">
        <v>8.8000000000000007</v>
      </c>
      <c r="G313">
        <v>9.1999999999999993</v>
      </c>
      <c r="H313">
        <f t="shared" si="23"/>
        <v>1.61E-2</v>
      </c>
      <c r="I313">
        <f t="shared" si="24"/>
        <v>1.4999999999999999E-2</v>
      </c>
      <c r="J313">
        <f t="shared" si="25"/>
        <v>5.7000000000000002E-3</v>
      </c>
      <c r="K313">
        <f t="shared" si="26"/>
        <v>8.3000000000000001E-3</v>
      </c>
      <c r="L313">
        <f t="shared" si="27"/>
        <v>8.8000000000000005E-3</v>
      </c>
      <c r="M313">
        <f t="shared" si="28"/>
        <v>9.1999999999999998E-3</v>
      </c>
      <c r="N313">
        <f t="shared" si="29"/>
        <v>50931.677018633542</v>
      </c>
      <c r="O313">
        <f t="shared" si="30"/>
        <v>54666.666666666672</v>
      </c>
      <c r="P313">
        <f t="shared" si="31"/>
        <v>143859.64912280702</v>
      </c>
      <c r="Q313">
        <f t="shared" si="32"/>
        <v>98795.180722891571</v>
      </c>
      <c r="R313">
        <f t="shared" si="33"/>
        <v>93181.818181818177</v>
      </c>
      <c r="S313">
        <f t="shared" si="34"/>
        <v>89130.434782608703</v>
      </c>
      <c r="T313">
        <f t="shared" si="35"/>
        <v>4.9839000000000002</v>
      </c>
      <c r="U313">
        <f t="shared" si="36"/>
        <v>4.9850000000000003</v>
      </c>
      <c r="V313">
        <f t="shared" si="37"/>
        <v>4.9943</v>
      </c>
      <c r="W313">
        <f t="shared" si="38"/>
        <v>4.9916999999999998</v>
      </c>
      <c r="X313">
        <f t="shared" si="39"/>
        <v>4.9912000000000001</v>
      </c>
      <c r="Y313">
        <f t="shared" si="40"/>
        <v>4.9908000000000001</v>
      </c>
      <c r="Z313">
        <f t="shared" si="41"/>
        <v>253.83838509316772</v>
      </c>
      <c r="AA313">
        <f t="shared" si="42"/>
        <v>272.51333333333338</v>
      </c>
      <c r="AB313">
        <f t="shared" si="43"/>
        <v>718.47824561403502</v>
      </c>
      <c r="AC313">
        <f t="shared" si="44"/>
        <v>493.15590361445783</v>
      </c>
      <c r="AD313">
        <f t="shared" si="45"/>
        <v>465.08909090909088</v>
      </c>
      <c r="AE313">
        <f t="shared" si="46"/>
        <v>444.8321739130435</v>
      </c>
    </row>
    <row r="314" spans="1:31" x14ac:dyDescent="0.2">
      <c r="A314">
        <v>290</v>
      </c>
      <c r="B314">
        <v>15.8</v>
      </c>
      <c r="C314">
        <v>15</v>
      </c>
      <c r="D314">
        <v>5.7</v>
      </c>
      <c r="E314">
        <v>8.4</v>
      </c>
      <c r="F314">
        <v>8.9</v>
      </c>
      <c r="G314">
        <v>9.1</v>
      </c>
      <c r="H314">
        <f t="shared" si="23"/>
        <v>1.5800000000000002E-2</v>
      </c>
      <c r="I314">
        <f t="shared" si="24"/>
        <v>1.4999999999999999E-2</v>
      </c>
      <c r="J314">
        <f t="shared" si="25"/>
        <v>5.7000000000000002E-3</v>
      </c>
      <c r="K314">
        <f t="shared" si="26"/>
        <v>8.4000000000000012E-3</v>
      </c>
      <c r="L314">
        <f t="shared" si="27"/>
        <v>8.8999999999999999E-3</v>
      </c>
      <c r="M314">
        <f t="shared" si="28"/>
        <v>9.1000000000000004E-3</v>
      </c>
      <c r="N314">
        <f t="shared" si="29"/>
        <v>51898.734177215185</v>
      </c>
      <c r="O314">
        <f t="shared" si="30"/>
        <v>54666.666666666672</v>
      </c>
      <c r="P314">
        <f t="shared" si="31"/>
        <v>143859.64912280702</v>
      </c>
      <c r="Q314">
        <f t="shared" si="32"/>
        <v>97619.047619047604</v>
      </c>
      <c r="R314">
        <f t="shared" si="33"/>
        <v>92134.831460674162</v>
      </c>
      <c r="S314">
        <f t="shared" si="34"/>
        <v>90109.890109890111</v>
      </c>
      <c r="T314">
        <f t="shared" si="35"/>
        <v>4.9842000000000004</v>
      </c>
      <c r="U314">
        <f t="shared" si="36"/>
        <v>4.9850000000000003</v>
      </c>
      <c r="V314">
        <f t="shared" si="37"/>
        <v>4.9943</v>
      </c>
      <c r="W314">
        <f t="shared" si="38"/>
        <v>4.9916</v>
      </c>
      <c r="X314">
        <f t="shared" si="39"/>
        <v>4.9911000000000003</v>
      </c>
      <c r="Y314">
        <f t="shared" si="40"/>
        <v>4.9908999999999999</v>
      </c>
      <c r="Z314">
        <f t="shared" si="41"/>
        <v>258.67367088607591</v>
      </c>
      <c r="AA314">
        <f t="shared" si="42"/>
        <v>272.51333333333338</v>
      </c>
      <c r="AB314">
        <f t="shared" si="43"/>
        <v>718.47824561403502</v>
      </c>
      <c r="AC314">
        <f t="shared" si="44"/>
        <v>487.27523809523802</v>
      </c>
      <c r="AD314">
        <f t="shared" si="45"/>
        <v>459.85415730337081</v>
      </c>
      <c r="AE314">
        <f t="shared" si="46"/>
        <v>449.72945054945052</v>
      </c>
    </row>
    <row r="315" spans="1:31" x14ac:dyDescent="0.2">
      <c r="A315">
        <v>300</v>
      </c>
      <c r="B315">
        <v>15.7</v>
      </c>
      <c r="C315">
        <v>15</v>
      </c>
      <c r="D315">
        <v>5.6</v>
      </c>
      <c r="E315">
        <v>8.3000000000000007</v>
      </c>
      <c r="F315">
        <v>8.9</v>
      </c>
      <c r="G315">
        <v>9.1</v>
      </c>
      <c r="H315">
        <f t="shared" si="23"/>
        <v>1.5699999999999999E-2</v>
      </c>
      <c r="I315">
        <f t="shared" si="24"/>
        <v>1.4999999999999999E-2</v>
      </c>
      <c r="J315">
        <f t="shared" si="25"/>
        <v>5.5999999999999999E-3</v>
      </c>
      <c r="K315">
        <f t="shared" si="26"/>
        <v>8.3000000000000001E-3</v>
      </c>
      <c r="L315">
        <f t="shared" si="27"/>
        <v>8.8999999999999999E-3</v>
      </c>
      <c r="M315">
        <f t="shared" si="28"/>
        <v>9.1000000000000004E-3</v>
      </c>
      <c r="N315">
        <f t="shared" si="29"/>
        <v>52229.299363057333</v>
      </c>
      <c r="O315">
        <f t="shared" si="30"/>
        <v>54666.666666666672</v>
      </c>
      <c r="P315">
        <f t="shared" si="31"/>
        <v>146428.57142857142</v>
      </c>
      <c r="Q315">
        <f t="shared" si="32"/>
        <v>98795.180722891571</v>
      </c>
      <c r="R315">
        <f t="shared" si="33"/>
        <v>92134.831460674162</v>
      </c>
      <c r="S315">
        <f t="shared" si="34"/>
        <v>90109.890109890111</v>
      </c>
      <c r="T315">
        <f t="shared" si="35"/>
        <v>4.9843000000000002</v>
      </c>
      <c r="U315">
        <f t="shared" si="36"/>
        <v>4.9850000000000003</v>
      </c>
      <c r="V315">
        <f t="shared" si="37"/>
        <v>4.9943999999999997</v>
      </c>
      <c r="W315">
        <f t="shared" si="38"/>
        <v>4.9916999999999998</v>
      </c>
      <c r="X315">
        <f t="shared" si="39"/>
        <v>4.9911000000000003</v>
      </c>
      <c r="Y315">
        <f t="shared" si="40"/>
        <v>4.9908999999999999</v>
      </c>
      <c r="Z315">
        <f t="shared" si="41"/>
        <v>260.32649681528665</v>
      </c>
      <c r="AA315">
        <f t="shared" si="42"/>
        <v>272.51333333333338</v>
      </c>
      <c r="AB315">
        <f t="shared" si="43"/>
        <v>731.32285714285706</v>
      </c>
      <c r="AC315">
        <f t="shared" si="44"/>
        <v>493.15590361445783</v>
      </c>
      <c r="AD315">
        <f t="shared" si="45"/>
        <v>459.85415730337081</v>
      </c>
      <c r="AE315">
        <f t="shared" si="46"/>
        <v>449.72945054945052</v>
      </c>
    </row>
    <row r="316" spans="1:31" x14ac:dyDescent="0.2">
      <c r="A316">
        <v>310</v>
      </c>
      <c r="B316">
        <v>15.7</v>
      </c>
      <c r="C316">
        <v>15</v>
      </c>
      <c r="D316">
        <v>5.7</v>
      </c>
      <c r="E316">
        <v>8.3000000000000007</v>
      </c>
      <c r="F316">
        <v>8.9</v>
      </c>
      <c r="G316">
        <v>9</v>
      </c>
      <c r="H316">
        <f t="shared" si="23"/>
        <v>1.5699999999999999E-2</v>
      </c>
      <c r="I316">
        <f t="shared" si="24"/>
        <v>1.4999999999999999E-2</v>
      </c>
      <c r="J316">
        <f t="shared" si="25"/>
        <v>5.7000000000000002E-3</v>
      </c>
      <c r="K316">
        <f t="shared" si="26"/>
        <v>8.3000000000000001E-3</v>
      </c>
      <c r="L316">
        <f t="shared" si="27"/>
        <v>8.8999999999999999E-3</v>
      </c>
      <c r="M316">
        <f t="shared" si="28"/>
        <v>8.9999999999999993E-3</v>
      </c>
      <c r="N316">
        <f t="shared" si="29"/>
        <v>52229.299363057333</v>
      </c>
      <c r="O316">
        <f t="shared" si="30"/>
        <v>54666.666666666672</v>
      </c>
      <c r="P316">
        <f t="shared" si="31"/>
        <v>143859.64912280702</v>
      </c>
      <c r="Q316">
        <f t="shared" si="32"/>
        <v>98795.180722891571</v>
      </c>
      <c r="R316">
        <f t="shared" si="33"/>
        <v>92134.831460674162</v>
      </c>
      <c r="S316">
        <f t="shared" si="34"/>
        <v>91111.111111111124</v>
      </c>
      <c r="T316">
        <f t="shared" si="35"/>
        <v>4.9843000000000002</v>
      </c>
      <c r="U316">
        <f t="shared" si="36"/>
        <v>4.9850000000000003</v>
      </c>
      <c r="V316">
        <f t="shared" si="37"/>
        <v>4.9943</v>
      </c>
      <c r="W316">
        <f t="shared" si="38"/>
        <v>4.9916999999999998</v>
      </c>
      <c r="X316">
        <f t="shared" si="39"/>
        <v>4.9911000000000003</v>
      </c>
      <c r="Y316">
        <f t="shared" si="40"/>
        <v>4.9909999999999997</v>
      </c>
      <c r="Z316">
        <f t="shared" si="41"/>
        <v>260.32649681528665</v>
      </c>
      <c r="AA316">
        <f t="shared" si="42"/>
        <v>272.51333333333338</v>
      </c>
      <c r="AB316">
        <f t="shared" si="43"/>
        <v>718.47824561403502</v>
      </c>
      <c r="AC316">
        <f t="shared" si="44"/>
        <v>493.15590361445783</v>
      </c>
      <c r="AD316">
        <f t="shared" si="45"/>
        <v>459.85415730337081</v>
      </c>
      <c r="AE316">
        <f t="shared" si="46"/>
        <v>454.73555555555555</v>
      </c>
    </row>
    <row r="317" spans="1:31" x14ac:dyDescent="0.2">
      <c r="A317">
        <v>320</v>
      </c>
      <c r="B317">
        <v>16</v>
      </c>
      <c r="C317">
        <v>14.9</v>
      </c>
      <c r="D317">
        <v>5.7</v>
      </c>
      <c r="E317">
        <v>8.3000000000000007</v>
      </c>
      <c r="F317">
        <v>8.8000000000000007</v>
      </c>
      <c r="G317">
        <v>9.1</v>
      </c>
      <c r="H317">
        <f t="shared" si="23"/>
        <v>1.6E-2</v>
      </c>
      <c r="I317">
        <f t="shared" si="24"/>
        <v>1.49E-2</v>
      </c>
      <c r="J317">
        <f t="shared" si="25"/>
        <v>5.7000000000000002E-3</v>
      </c>
      <c r="K317">
        <f t="shared" si="26"/>
        <v>8.3000000000000001E-3</v>
      </c>
      <c r="L317">
        <f t="shared" si="27"/>
        <v>8.8000000000000005E-3</v>
      </c>
      <c r="M317">
        <f t="shared" si="28"/>
        <v>9.1000000000000004E-3</v>
      </c>
      <c r="N317">
        <f t="shared" si="29"/>
        <v>51250</v>
      </c>
      <c r="O317">
        <f t="shared" si="30"/>
        <v>55033.557046979862</v>
      </c>
      <c r="P317">
        <f t="shared" si="31"/>
        <v>143859.64912280702</v>
      </c>
      <c r="Q317">
        <f t="shared" si="32"/>
        <v>98795.180722891571</v>
      </c>
      <c r="R317">
        <f t="shared" si="33"/>
        <v>93181.818181818177</v>
      </c>
      <c r="S317">
        <f t="shared" si="34"/>
        <v>90109.890109890111</v>
      </c>
      <c r="T317">
        <f t="shared" si="35"/>
        <v>4.984</v>
      </c>
      <c r="U317">
        <f t="shared" si="36"/>
        <v>4.9851000000000001</v>
      </c>
      <c r="V317">
        <f t="shared" si="37"/>
        <v>4.9943</v>
      </c>
      <c r="W317">
        <f t="shared" si="38"/>
        <v>4.9916999999999998</v>
      </c>
      <c r="X317">
        <f t="shared" si="39"/>
        <v>4.9912000000000001</v>
      </c>
      <c r="Y317">
        <f t="shared" si="40"/>
        <v>4.9908999999999999</v>
      </c>
      <c r="Z317">
        <f t="shared" si="41"/>
        <v>255.43</v>
      </c>
      <c r="AA317">
        <f t="shared" si="42"/>
        <v>274.34778523489933</v>
      </c>
      <c r="AB317">
        <f t="shared" si="43"/>
        <v>718.47824561403502</v>
      </c>
      <c r="AC317">
        <f t="shared" si="44"/>
        <v>493.15590361445783</v>
      </c>
      <c r="AD317">
        <f t="shared" si="45"/>
        <v>465.08909090909088</v>
      </c>
      <c r="AE317">
        <f t="shared" si="46"/>
        <v>449.72945054945052</v>
      </c>
    </row>
    <row r="318" spans="1:31" x14ac:dyDescent="0.2">
      <c r="A318">
        <v>330</v>
      </c>
      <c r="B318">
        <v>15.9</v>
      </c>
      <c r="C318">
        <v>14.8</v>
      </c>
      <c r="D318">
        <v>5.6</v>
      </c>
      <c r="E318">
        <v>8.1999999999999993</v>
      </c>
      <c r="F318">
        <v>8.6</v>
      </c>
      <c r="G318">
        <v>9.1</v>
      </c>
      <c r="H318">
        <f t="shared" si="23"/>
        <v>1.5900000000000001E-2</v>
      </c>
      <c r="I318">
        <f t="shared" si="24"/>
        <v>1.4800000000000001E-2</v>
      </c>
      <c r="J318">
        <f t="shared" si="25"/>
        <v>5.5999999999999999E-3</v>
      </c>
      <c r="K318">
        <f t="shared" si="26"/>
        <v>8.199999999999999E-3</v>
      </c>
      <c r="L318">
        <f t="shared" si="27"/>
        <v>8.6E-3</v>
      </c>
      <c r="M318">
        <f t="shared" si="28"/>
        <v>9.1000000000000004E-3</v>
      </c>
      <c r="N318">
        <f t="shared" si="29"/>
        <v>51572.327044025151</v>
      </c>
      <c r="O318">
        <f t="shared" si="30"/>
        <v>55405.4054054054</v>
      </c>
      <c r="P318">
        <f t="shared" si="31"/>
        <v>146428.57142857142</v>
      </c>
      <c r="Q318">
        <f t="shared" si="32"/>
        <v>100000.00000000001</v>
      </c>
      <c r="R318">
        <f t="shared" si="33"/>
        <v>95348.837209302321</v>
      </c>
      <c r="S318">
        <f t="shared" si="34"/>
        <v>90109.890109890111</v>
      </c>
      <c r="T318">
        <f t="shared" si="35"/>
        <v>4.9840999999999998</v>
      </c>
      <c r="U318">
        <f t="shared" si="36"/>
        <v>4.9851999999999999</v>
      </c>
      <c r="V318">
        <f t="shared" si="37"/>
        <v>4.9943999999999997</v>
      </c>
      <c r="W318">
        <f t="shared" si="38"/>
        <v>4.9917999999999996</v>
      </c>
      <c r="X318">
        <f t="shared" si="39"/>
        <v>4.9913999999999996</v>
      </c>
      <c r="Y318">
        <f t="shared" si="40"/>
        <v>4.9908999999999999</v>
      </c>
      <c r="Z318">
        <f t="shared" si="41"/>
        <v>257.04163522012573</v>
      </c>
      <c r="AA318">
        <f t="shared" si="42"/>
        <v>276.20702702702698</v>
      </c>
      <c r="AB318">
        <f t="shared" si="43"/>
        <v>731.32285714285706</v>
      </c>
      <c r="AC318">
        <f t="shared" si="44"/>
        <v>499.18000000000006</v>
      </c>
      <c r="AD318">
        <f t="shared" si="45"/>
        <v>475.92418604651158</v>
      </c>
      <c r="AE318">
        <f t="shared" si="46"/>
        <v>449.72945054945052</v>
      </c>
    </row>
    <row r="319" spans="1:31" x14ac:dyDescent="0.2">
      <c r="A319">
        <v>340</v>
      </c>
      <c r="B319">
        <v>16</v>
      </c>
      <c r="C319">
        <v>14.9</v>
      </c>
      <c r="D319">
        <v>5.7</v>
      </c>
      <c r="E319">
        <v>8.3000000000000007</v>
      </c>
      <c r="F319">
        <v>8.8000000000000007</v>
      </c>
      <c r="G319">
        <v>8.9</v>
      </c>
      <c r="H319">
        <f t="shared" si="23"/>
        <v>1.6E-2</v>
      </c>
      <c r="I319">
        <f t="shared" si="24"/>
        <v>1.49E-2</v>
      </c>
      <c r="J319">
        <f t="shared" si="25"/>
        <v>5.7000000000000002E-3</v>
      </c>
      <c r="K319">
        <f t="shared" si="26"/>
        <v>8.3000000000000001E-3</v>
      </c>
      <c r="L319">
        <f t="shared" si="27"/>
        <v>8.8000000000000005E-3</v>
      </c>
      <c r="M319">
        <f t="shared" si="28"/>
        <v>8.8999999999999999E-3</v>
      </c>
      <c r="N319">
        <f t="shared" si="29"/>
        <v>51250</v>
      </c>
      <c r="O319">
        <f t="shared" si="30"/>
        <v>55033.557046979862</v>
      </c>
      <c r="P319">
        <f t="shared" si="31"/>
        <v>143859.64912280702</v>
      </c>
      <c r="Q319">
        <f t="shared" si="32"/>
        <v>98795.180722891571</v>
      </c>
      <c r="R319">
        <f t="shared" si="33"/>
        <v>93181.818181818177</v>
      </c>
      <c r="S319">
        <f t="shared" si="34"/>
        <v>92134.831460674162</v>
      </c>
      <c r="T319">
        <f t="shared" si="35"/>
        <v>4.984</v>
      </c>
      <c r="U319">
        <f t="shared" si="36"/>
        <v>4.9851000000000001</v>
      </c>
      <c r="V319">
        <f t="shared" si="37"/>
        <v>4.9943</v>
      </c>
      <c r="W319">
        <f t="shared" si="38"/>
        <v>4.9916999999999998</v>
      </c>
      <c r="X319">
        <f t="shared" si="39"/>
        <v>4.9912000000000001</v>
      </c>
      <c r="Y319">
        <f t="shared" si="40"/>
        <v>4.9911000000000003</v>
      </c>
      <c r="Z319">
        <f t="shared" si="41"/>
        <v>255.43</v>
      </c>
      <c r="AA319">
        <f t="shared" si="42"/>
        <v>274.34778523489933</v>
      </c>
      <c r="AB319">
        <f t="shared" si="43"/>
        <v>718.47824561403502</v>
      </c>
      <c r="AC319">
        <f t="shared" si="44"/>
        <v>493.15590361445783</v>
      </c>
      <c r="AD319">
        <f t="shared" si="45"/>
        <v>465.08909090909088</v>
      </c>
      <c r="AE319">
        <f t="shared" si="46"/>
        <v>459.85415730337081</v>
      </c>
    </row>
    <row r="320" spans="1:31" x14ac:dyDescent="0.2">
      <c r="A320">
        <v>350</v>
      </c>
      <c r="B320">
        <v>15.9</v>
      </c>
      <c r="C320">
        <v>15</v>
      </c>
      <c r="D320">
        <v>5.7</v>
      </c>
      <c r="E320">
        <v>8.4</v>
      </c>
      <c r="F320">
        <v>8.6</v>
      </c>
      <c r="G320">
        <v>8.9</v>
      </c>
      <c r="H320">
        <f t="shared" si="23"/>
        <v>1.5900000000000001E-2</v>
      </c>
      <c r="I320">
        <f t="shared" si="24"/>
        <v>1.4999999999999999E-2</v>
      </c>
      <c r="J320">
        <f t="shared" si="25"/>
        <v>5.7000000000000002E-3</v>
      </c>
      <c r="K320">
        <f t="shared" si="26"/>
        <v>8.4000000000000012E-3</v>
      </c>
      <c r="L320">
        <f t="shared" si="27"/>
        <v>8.6E-3</v>
      </c>
      <c r="M320">
        <f t="shared" si="28"/>
        <v>8.8999999999999999E-3</v>
      </c>
      <c r="N320">
        <f t="shared" si="29"/>
        <v>51572.327044025151</v>
      </c>
      <c r="O320">
        <f t="shared" si="30"/>
        <v>54666.666666666672</v>
      </c>
      <c r="P320">
        <f t="shared" si="31"/>
        <v>143859.64912280702</v>
      </c>
      <c r="Q320">
        <f t="shared" si="32"/>
        <v>97619.047619047604</v>
      </c>
      <c r="R320">
        <f t="shared" si="33"/>
        <v>95348.837209302321</v>
      </c>
      <c r="S320">
        <f t="shared" si="34"/>
        <v>92134.831460674162</v>
      </c>
      <c r="T320">
        <f t="shared" si="35"/>
        <v>4.9840999999999998</v>
      </c>
      <c r="U320">
        <f t="shared" si="36"/>
        <v>4.9850000000000003</v>
      </c>
      <c r="V320">
        <f t="shared" si="37"/>
        <v>4.9943</v>
      </c>
      <c r="W320">
        <f t="shared" si="38"/>
        <v>4.9916</v>
      </c>
      <c r="X320">
        <f t="shared" si="39"/>
        <v>4.9913999999999996</v>
      </c>
      <c r="Y320">
        <f t="shared" si="40"/>
        <v>4.9911000000000003</v>
      </c>
      <c r="Z320">
        <f t="shared" si="41"/>
        <v>257.04163522012573</v>
      </c>
      <c r="AA320">
        <f t="shared" si="42"/>
        <v>272.51333333333338</v>
      </c>
      <c r="AB320">
        <f t="shared" si="43"/>
        <v>718.47824561403502</v>
      </c>
      <c r="AC320">
        <f t="shared" si="44"/>
        <v>487.27523809523802</v>
      </c>
      <c r="AD320">
        <f t="shared" si="45"/>
        <v>475.92418604651158</v>
      </c>
      <c r="AE320">
        <f t="shared" si="46"/>
        <v>459.85415730337081</v>
      </c>
    </row>
    <row r="321" spans="1:31" x14ac:dyDescent="0.2">
      <c r="A321">
        <v>360</v>
      </c>
      <c r="B321">
        <v>15.9</v>
      </c>
      <c r="C321">
        <v>15</v>
      </c>
      <c r="D321">
        <v>5.7</v>
      </c>
      <c r="E321">
        <v>8.4</v>
      </c>
      <c r="F321">
        <v>8.6</v>
      </c>
      <c r="G321">
        <v>8.8000000000000007</v>
      </c>
      <c r="H321">
        <f t="shared" si="23"/>
        <v>1.5900000000000001E-2</v>
      </c>
      <c r="I321">
        <f t="shared" si="24"/>
        <v>1.4999999999999999E-2</v>
      </c>
      <c r="J321">
        <f t="shared" si="25"/>
        <v>5.7000000000000002E-3</v>
      </c>
      <c r="K321">
        <f t="shared" si="26"/>
        <v>8.4000000000000012E-3</v>
      </c>
      <c r="L321">
        <f t="shared" si="27"/>
        <v>8.6E-3</v>
      </c>
      <c r="M321">
        <f t="shared" si="28"/>
        <v>8.8000000000000005E-3</v>
      </c>
      <c r="N321">
        <f t="shared" si="29"/>
        <v>51572.327044025151</v>
      </c>
      <c r="O321">
        <f t="shared" si="30"/>
        <v>54666.666666666672</v>
      </c>
      <c r="P321">
        <f t="shared" si="31"/>
        <v>143859.64912280702</v>
      </c>
      <c r="Q321">
        <f t="shared" si="32"/>
        <v>97619.047619047604</v>
      </c>
      <c r="R321">
        <f t="shared" si="33"/>
        <v>95348.837209302321</v>
      </c>
      <c r="S321">
        <f t="shared" si="34"/>
        <v>93181.818181818177</v>
      </c>
      <c r="T321">
        <f t="shared" si="35"/>
        <v>4.9840999999999998</v>
      </c>
      <c r="U321">
        <f t="shared" si="36"/>
        <v>4.9850000000000003</v>
      </c>
      <c r="V321">
        <f t="shared" si="37"/>
        <v>4.9943</v>
      </c>
      <c r="W321">
        <f t="shared" si="38"/>
        <v>4.9916</v>
      </c>
      <c r="X321">
        <f t="shared" si="39"/>
        <v>4.9913999999999996</v>
      </c>
      <c r="Y321">
        <f t="shared" si="40"/>
        <v>4.9912000000000001</v>
      </c>
      <c r="Z321">
        <f t="shared" si="41"/>
        <v>257.04163522012573</v>
      </c>
      <c r="AA321">
        <f t="shared" si="42"/>
        <v>272.51333333333338</v>
      </c>
      <c r="AB321">
        <f t="shared" si="43"/>
        <v>718.47824561403502</v>
      </c>
      <c r="AC321">
        <f t="shared" si="44"/>
        <v>487.27523809523802</v>
      </c>
      <c r="AD321">
        <f t="shared" si="45"/>
        <v>475.92418604651158</v>
      </c>
      <c r="AE321">
        <f t="shared" si="46"/>
        <v>465.08909090909088</v>
      </c>
    </row>
    <row r="322" spans="1:31" x14ac:dyDescent="0.2">
      <c r="A322">
        <v>370</v>
      </c>
      <c r="B322">
        <v>16</v>
      </c>
      <c r="C322">
        <v>15.1</v>
      </c>
      <c r="D322">
        <v>5.7</v>
      </c>
      <c r="E322">
        <v>8.4</v>
      </c>
      <c r="F322">
        <v>8.6</v>
      </c>
      <c r="G322">
        <v>8.8000000000000007</v>
      </c>
      <c r="H322">
        <f t="shared" si="23"/>
        <v>1.6E-2</v>
      </c>
      <c r="I322">
        <f t="shared" si="24"/>
        <v>1.5099999999999999E-2</v>
      </c>
      <c r="J322">
        <f t="shared" si="25"/>
        <v>5.7000000000000002E-3</v>
      </c>
      <c r="K322">
        <f t="shared" si="26"/>
        <v>8.4000000000000012E-3</v>
      </c>
      <c r="L322">
        <f t="shared" si="27"/>
        <v>8.6E-3</v>
      </c>
      <c r="M322">
        <f t="shared" si="28"/>
        <v>8.8000000000000005E-3</v>
      </c>
      <c r="N322">
        <f t="shared" si="29"/>
        <v>51250</v>
      </c>
      <c r="O322">
        <f t="shared" si="30"/>
        <v>54304.635761589409</v>
      </c>
      <c r="P322">
        <f t="shared" si="31"/>
        <v>143859.64912280702</v>
      </c>
      <c r="Q322">
        <f t="shared" si="32"/>
        <v>97619.047619047604</v>
      </c>
      <c r="R322">
        <f t="shared" si="33"/>
        <v>95348.837209302321</v>
      </c>
      <c r="S322">
        <f t="shared" si="34"/>
        <v>93181.818181818177</v>
      </c>
      <c r="T322">
        <f t="shared" si="35"/>
        <v>4.984</v>
      </c>
      <c r="U322">
        <f t="shared" si="36"/>
        <v>4.9848999999999997</v>
      </c>
      <c r="V322">
        <f t="shared" si="37"/>
        <v>4.9943</v>
      </c>
      <c r="W322">
        <f t="shared" si="38"/>
        <v>4.9916</v>
      </c>
      <c r="X322">
        <f t="shared" si="39"/>
        <v>4.9913999999999996</v>
      </c>
      <c r="Y322">
        <f t="shared" si="40"/>
        <v>4.9912000000000001</v>
      </c>
      <c r="Z322">
        <f t="shared" si="41"/>
        <v>255.43</v>
      </c>
      <c r="AA322">
        <f t="shared" si="42"/>
        <v>270.70317880794704</v>
      </c>
      <c r="AB322">
        <f t="shared" si="43"/>
        <v>718.47824561403502</v>
      </c>
      <c r="AC322">
        <f t="shared" si="44"/>
        <v>487.27523809523802</v>
      </c>
      <c r="AD322">
        <f t="shared" si="45"/>
        <v>475.92418604651158</v>
      </c>
      <c r="AE322">
        <f t="shared" si="46"/>
        <v>465.08909090909088</v>
      </c>
    </row>
    <row r="323" spans="1:31" x14ac:dyDescent="0.2">
      <c r="A323">
        <v>380</v>
      </c>
      <c r="B323">
        <v>15.9</v>
      </c>
      <c r="C323">
        <v>15</v>
      </c>
      <c r="D323">
        <v>5.7</v>
      </c>
      <c r="E323">
        <v>8.3000000000000007</v>
      </c>
      <c r="F323">
        <v>8.6</v>
      </c>
      <c r="G323">
        <v>8.9</v>
      </c>
      <c r="H323">
        <f t="shared" si="23"/>
        <v>1.5900000000000001E-2</v>
      </c>
      <c r="I323">
        <f t="shared" si="24"/>
        <v>1.4999999999999999E-2</v>
      </c>
      <c r="J323">
        <f t="shared" si="25"/>
        <v>5.7000000000000002E-3</v>
      </c>
      <c r="K323">
        <f t="shared" si="26"/>
        <v>8.3000000000000001E-3</v>
      </c>
      <c r="L323">
        <f t="shared" si="27"/>
        <v>8.6E-3</v>
      </c>
      <c r="M323">
        <f t="shared" si="28"/>
        <v>8.8999999999999999E-3</v>
      </c>
      <c r="N323">
        <f t="shared" si="29"/>
        <v>51572.327044025151</v>
      </c>
      <c r="O323">
        <f t="shared" si="30"/>
        <v>54666.666666666672</v>
      </c>
      <c r="P323">
        <f t="shared" si="31"/>
        <v>143859.64912280702</v>
      </c>
      <c r="Q323">
        <f t="shared" si="32"/>
        <v>98795.180722891571</v>
      </c>
      <c r="R323">
        <f t="shared" si="33"/>
        <v>95348.837209302321</v>
      </c>
      <c r="S323">
        <f t="shared" si="34"/>
        <v>92134.831460674162</v>
      </c>
      <c r="T323">
        <f t="shared" si="35"/>
        <v>4.9840999999999998</v>
      </c>
      <c r="U323">
        <f t="shared" si="36"/>
        <v>4.9850000000000003</v>
      </c>
      <c r="V323">
        <f t="shared" si="37"/>
        <v>4.9943</v>
      </c>
      <c r="W323">
        <f t="shared" si="38"/>
        <v>4.9916999999999998</v>
      </c>
      <c r="X323">
        <f t="shared" si="39"/>
        <v>4.9913999999999996</v>
      </c>
      <c r="Y323">
        <f t="shared" si="40"/>
        <v>4.9911000000000003</v>
      </c>
      <c r="Z323">
        <f t="shared" si="41"/>
        <v>257.04163522012573</v>
      </c>
      <c r="AA323">
        <f t="shared" si="42"/>
        <v>272.51333333333338</v>
      </c>
      <c r="AB323">
        <f t="shared" si="43"/>
        <v>718.47824561403502</v>
      </c>
      <c r="AC323">
        <f t="shared" si="44"/>
        <v>493.15590361445783</v>
      </c>
      <c r="AD323">
        <f t="shared" si="45"/>
        <v>475.92418604651158</v>
      </c>
      <c r="AE323">
        <f t="shared" si="46"/>
        <v>459.85415730337081</v>
      </c>
    </row>
    <row r="324" spans="1:31" x14ac:dyDescent="0.2">
      <c r="A324">
        <v>390</v>
      </c>
      <c r="B324">
        <v>15.8</v>
      </c>
      <c r="C324">
        <v>15.1</v>
      </c>
      <c r="D324">
        <v>5.6</v>
      </c>
      <c r="E324">
        <v>8.4</v>
      </c>
      <c r="F324">
        <v>8.6</v>
      </c>
      <c r="G324">
        <v>9</v>
      </c>
      <c r="H324">
        <f t="shared" si="23"/>
        <v>1.5800000000000002E-2</v>
      </c>
      <c r="I324">
        <f t="shared" si="24"/>
        <v>1.5099999999999999E-2</v>
      </c>
      <c r="J324">
        <f t="shared" si="25"/>
        <v>5.5999999999999999E-3</v>
      </c>
      <c r="K324">
        <f t="shared" si="26"/>
        <v>8.4000000000000012E-3</v>
      </c>
      <c r="L324">
        <f t="shared" si="27"/>
        <v>8.6E-3</v>
      </c>
      <c r="M324">
        <f t="shared" si="28"/>
        <v>8.9999999999999993E-3</v>
      </c>
      <c r="N324">
        <f t="shared" si="29"/>
        <v>51898.734177215185</v>
      </c>
      <c r="O324">
        <f t="shared" si="30"/>
        <v>54304.635761589409</v>
      </c>
      <c r="P324">
        <f t="shared" si="31"/>
        <v>146428.57142857142</v>
      </c>
      <c r="Q324">
        <f t="shared" si="32"/>
        <v>97619.047619047604</v>
      </c>
      <c r="R324">
        <f t="shared" si="33"/>
        <v>95348.837209302321</v>
      </c>
      <c r="S324">
        <f t="shared" si="34"/>
        <v>91111.111111111124</v>
      </c>
      <c r="T324">
        <f t="shared" si="35"/>
        <v>4.9842000000000004</v>
      </c>
      <c r="U324">
        <f t="shared" si="36"/>
        <v>4.9848999999999997</v>
      </c>
      <c r="V324">
        <f t="shared" si="37"/>
        <v>4.9943999999999997</v>
      </c>
      <c r="W324">
        <f t="shared" si="38"/>
        <v>4.9916</v>
      </c>
      <c r="X324">
        <f t="shared" si="39"/>
        <v>4.9913999999999996</v>
      </c>
      <c r="Y324">
        <f t="shared" si="40"/>
        <v>4.9909999999999997</v>
      </c>
      <c r="Z324">
        <f t="shared" si="41"/>
        <v>258.67367088607591</v>
      </c>
      <c r="AA324">
        <f t="shared" si="42"/>
        <v>270.70317880794704</v>
      </c>
      <c r="AB324">
        <f t="shared" si="43"/>
        <v>731.32285714285706</v>
      </c>
      <c r="AC324">
        <f t="shared" si="44"/>
        <v>487.27523809523802</v>
      </c>
      <c r="AD324">
        <f t="shared" si="45"/>
        <v>475.92418604651158</v>
      </c>
      <c r="AE324">
        <f t="shared" si="46"/>
        <v>454.73555555555555</v>
      </c>
    </row>
    <row r="336" spans="1:31" x14ac:dyDescent="0.2">
      <c r="A336" t="s">
        <v>112</v>
      </c>
    </row>
    <row r="340" spans="1:41" x14ac:dyDescent="0.2">
      <c r="A340" t="s">
        <v>8</v>
      </c>
      <c r="B340" t="s">
        <v>9</v>
      </c>
      <c r="C340" t="s">
        <v>10</v>
      </c>
      <c r="D340" t="s">
        <v>11</v>
      </c>
      <c r="E340" t="s">
        <v>10</v>
      </c>
      <c r="F340" t="s">
        <v>12</v>
      </c>
      <c r="G340" t="s">
        <v>13</v>
      </c>
      <c r="H340" t="s">
        <v>14</v>
      </c>
      <c r="I340" t="s">
        <v>15</v>
      </c>
      <c r="J340" t="s">
        <v>120</v>
      </c>
      <c r="M340" t="s">
        <v>28</v>
      </c>
      <c r="N340" t="s">
        <v>10</v>
      </c>
      <c r="O340" t="s">
        <v>11</v>
      </c>
      <c r="P340" t="s">
        <v>10</v>
      </c>
      <c r="Q340" t="s">
        <v>29</v>
      </c>
      <c r="R340" t="s">
        <v>12</v>
      </c>
      <c r="S340" t="s">
        <v>13</v>
      </c>
      <c r="T340" t="s">
        <v>14</v>
      </c>
      <c r="U340" t="s">
        <v>15</v>
      </c>
      <c r="V340" t="s">
        <v>120</v>
      </c>
    </row>
    <row r="341" spans="1:41" x14ac:dyDescent="0.2">
      <c r="A341">
        <v>0</v>
      </c>
      <c r="B341">
        <v>0</v>
      </c>
      <c r="C341">
        <v>0</v>
      </c>
      <c r="D341">
        <v>1.9400000000000001E-2</v>
      </c>
      <c r="E341">
        <v>0</v>
      </c>
      <c r="F341">
        <f>(820/D341)</f>
        <v>42268.041237113401</v>
      </c>
      <c r="G341">
        <f>(5-D341)</f>
        <v>4.9805999999999999</v>
      </c>
      <c r="H341">
        <f>(F341*G341)</f>
        <v>210520.20618556699</v>
      </c>
      <c r="M341">
        <v>0</v>
      </c>
      <c r="N341">
        <v>0</v>
      </c>
      <c r="O341">
        <v>2.1299999999999999E-2</v>
      </c>
      <c r="P341">
        <v>0</v>
      </c>
      <c r="Q341">
        <v>22.5</v>
      </c>
      <c r="R341">
        <f>(820/O341)</f>
        <v>38497.652582159622</v>
      </c>
      <c r="S341">
        <f>(5-O341)</f>
        <v>4.9786999999999999</v>
      </c>
      <c r="T341">
        <f>(R341*S341)</f>
        <v>191668.2629107981</v>
      </c>
      <c r="AA341" t="s">
        <v>15</v>
      </c>
      <c r="AB341" t="s">
        <v>79</v>
      </c>
    </row>
    <row r="342" spans="1:41" x14ac:dyDescent="0.2">
      <c r="A342">
        <v>0.5</v>
      </c>
      <c r="B342">
        <v>20</v>
      </c>
      <c r="C342">
        <v>40</v>
      </c>
      <c r="D342">
        <v>2.5000000000000001E-2</v>
      </c>
      <c r="E342">
        <v>45</v>
      </c>
      <c r="F342">
        <f t="shared" ref="F342:F363" si="47">(820/D342)</f>
        <v>32800</v>
      </c>
      <c r="G342">
        <f t="shared" ref="G342:G363" si="48">(5-D342)</f>
        <v>4.9749999999999996</v>
      </c>
      <c r="H342">
        <f t="shared" ref="H342:H363" si="49">(F342*G342)</f>
        <v>163180</v>
      </c>
      <c r="I342">
        <f t="shared" ref="I342:I363" si="50">(H342/210520.2)</f>
        <v>0.77512751745438202</v>
      </c>
      <c r="J342">
        <f>((H342-H341)/H341)*100</f>
        <v>-22.487250532064401</v>
      </c>
      <c r="M342">
        <v>20</v>
      </c>
      <c r="N342">
        <v>37</v>
      </c>
      <c r="O342">
        <v>2.5899999999999999E-2</v>
      </c>
      <c r="P342">
        <v>10</v>
      </c>
      <c r="Q342">
        <v>22.5</v>
      </c>
      <c r="R342">
        <f t="shared" ref="R342:R363" si="51">(820/O342)</f>
        <v>31660.23166023166</v>
      </c>
      <c r="S342">
        <f t="shared" ref="S342:S363" si="52">(5-O342)</f>
        <v>4.9741</v>
      </c>
      <c r="T342">
        <f t="shared" ref="T342:T363" si="53">(R342*S342)</f>
        <v>157481.15830115831</v>
      </c>
      <c r="U342">
        <f>(T342/191668.3)</f>
        <v>0.82163382416997655</v>
      </c>
      <c r="V342">
        <f>(T342-T341)/T342 *100</f>
        <v>-21.708695172448664</v>
      </c>
      <c r="AG342" t="s">
        <v>28</v>
      </c>
      <c r="AH342" t="s">
        <v>46</v>
      </c>
      <c r="AI342" t="s">
        <v>47</v>
      </c>
      <c r="AJ342" t="s">
        <v>48</v>
      </c>
      <c r="AM342" s="7" t="s">
        <v>96</v>
      </c>
      <c r="AN342" s="7" t="s">
        <v>97</v>
      </c>
      <c r="AO342" s="7"/>
    </row>
    <row r="343" spans="1:41" x14ac:dyDescent="0.2">
      <c r="A343">
        <v>1</v>
      </c>
      <c r="B343">
        <v>37</v>
      </c>
      <c r="C343">
        <v>39</v>
      </c>
      <c r="D343">
        <v>2.9000000000000001E-2</v>
      </c>
      <c r="E343">
        <v>60</v>
      </c>
      <c r="F343">
        <f t="shared" si="47"/>
        <v>28275.862068965514</v>
      </c>
      <c r="G343">
        <f t="shared" si="48"/>
        <v>4.9710000000000001</v>
      </c>
      <c r="H343">
        <f t="shared" si="49"/>
        <v>140559.31034482757</v>
      </c>
      <c r="I343">
        <f t="shared" si="50"/>
        <v>0.66767612012922062</v>
      </c>
      <c r="J343">
        <f t="shared" ref="J343:J363" si="54">((H343-H342)/H342)*100</f>
        <v>-13.862415525905403</v>
      </c>
      <c r="K343">
        <f t="shared" ref="K343:K364" si="55">(I343-I342)/I342*100</f>
        <v>-13.862415525905408</v>
      </c>
      <c r="M343">
        <v>38</v>
      </c>
      <c r="N343">
        <v>37</v>
      </c>
      <c r="O343">
        <v>0.03</v>
      </c>
      <c r="P343">
        <v>10</v>
      </c>
      <c r="Q343">
        <v>22.5</v>
      </c>
      <c r="R343">
        <f t="shared" si="51"/>
        <v>27333.333333333336</v>
      </c>
      <c r="S343">
        <f t="shared" si="52"/>
        <v>4.97</v>
      </c>
      <c r="T343">
        <f t="shared" si="53"/>
        <v>135846.66666666669</v>
      </c>
      <c r="U343">
        <f t="shared" ref="U343:U363" si="56">(T343/191668.3)</f>
        <v>0.70875917753048723</v>
      </c>
      <c r="V343">
        <f t="shared" ref="V343:V363" si="57">(T343-T342)/T343 *100</f>
        <v>-15.925669849211088</v>
      </c>
      <c r="Y343">
        <v>0.77512751745438202</v>
      </c>
      <c r="Z343">
        <v>0.82163382416997655</v>
      </c>
      <c r="AA343">
        <v>0.76242985275539565</v>
      </c>
      <c r="AB343">
        <f>AVERAGE(Y343:AA343)</f>
        <v>0.78639706479325133</v>
      </c>
      <c r="AF343">
        <v>0.29449563766098791</v>
      </c>
      <c r="AG343">
        <v>19</v>
      </c>
      <c r="AH343">
        <v>0.78639706479325133</v>
      </c>
      <c r="AI343">
        <v>0.35</v>
      </c>
      <c r="AJ343">
        <f>AH343-AI343</f>
        <v>0.43639706479325135</v>
      </c>
      <c r="AK343">
        <f>AJ343/AI343</f>
        <v>1.2468487565521469</v>
      </c>
      <c r="AL343" t="s">
        <v>98</v>
      </c>
      <c r="AM343" s="7">
        <f>ABS(AI343-AH343)</f>
        <v>0.43639706479325135</v>
      </c>
      <c r="AN343" s="7">
        <f>AM343/AI343</f>
        <v>1.2468487565521469</v>
      </c>
      <c r="AO343" s="7">
        <f>AN343*100</f>
        <v>124.68487565521468</v>
      </c>
    </row>
    <row r="344" spans="1:41" x14ac:dyDescent="0.2">
      <c r="A344">
        <v>1.5</v>
      </c>
      <c r="B344">
        <v>52</v>
      </c>
      <c r="C344">
        <v>30</v>
      </c>
      <c r="D344">
        <v>3.1699999999999999E-2</v>
      </c>
      <c r="E344">
        <v>25</v>
      </c>
      <c r="F344">
        <f t="shared" si="47"/>
        <v>25867.507886435331</v>
      </c>
      <c r="G344">
        <f t="shared" si="48"/>
        <v>4.9683000000000002</v>
      </c>
      <c r="H344">
        <f t="shared" si="49"/>
        <v>128517.53943217667</v>
      </c>
      <c r="I344">
        <f t="shared" si="50"/>
        <v>0.61047604663199384</v>
      </c>
      <c r="J344">
        <f t="shared" si="54"/>
        <v>-8.5670389838349301</v>
      </c>
      <c r="K344">
        <f t="shared" si="55"/>
        <v>-8.5670389838349159</v>
      </c>
      <c r="M344">
        <v>61</v>
      </c>
      <c r="N344">
        <v>40</v>
      </c>
      <c r="O344">
        <v>3.2300000000000002E-2</v>
      </c>
      <c r="P344">
        <v>10</v>
      </c>
      <c r="Q344">
        <v>22.5</v>
      </c>
      <c r="R344">
        <f t="shared" si="51"/>
        <v>25386.996904024767</v>
      </c>
      <c r="S344">
        <f t="shared" si="52"/>
        <v>4.9676999999999998</v>
      </c>
      <c r="T344">
        <f t="shared" si="53"/>
        <v>126114.98452012383</v>
      </c>
      <c r="U344">
        <f t="shared" si="56"/>
        <v>0.65798561640148023</v>
      </c>
      <c r="V344">
        <f t="shared" si="57"/>
        <v>-7.7165153558655772</v>
      </c>
      <c r="Y344">
        <v>0.66767612012922062</v>
      </c>
      <c r="Z344">
        <v>0.70875917753048723</v>
      </c>
      <c r="AA344">
        <v>0.68354027499453596</v>
      </c>
      <c r="AB344">
        <f t="shared" ref="AB344:AB364" si="58">AVERAGE(Y344:AA344)</f>
        <v>0.68665852421808127</v>
      </c>
      <c r="AF344">
        <v>0.16930619660618401</v>
      </c>
      <c r="AG344">
        <v>36.666666666666664</v>
      </c>
      <c r="AH344">
        <v>0.68665852421808127</v>
      </c>
      <c r="AI344">
        <v>0.16</v>
      </c>
      <c r="AJ344">
        <f t="shared" ref="AJ344:AJ362" si="59">AH344-AI344</f>
        <v>0.52665852421808124</v>
      </c>
      <c r="AK344">
        <f t="shared" ref="AK344:AK357" si="60">AJ344/AI344</f>
        <v>3.2916157763630078</v>
      </c>
      <c r="AL344">
        <f t="shared" ref="AL344:AL364" si="61">AK344*100</f>
        <v>329.16157763630076</v>
      </c>
      <c r="AM344" s="7">
        <f t="shared" ref="AM344:AM364" si="62">ABS(AI344-AH344)</f>
        <v>0.52665852421808124</v>
      </c>
      <c r="AN344" s="7">
        <f t="shared" ref="AN344:AN364" si="63">AM344/AI344</f>
        <v>3.2916157763630078</v>
      </c>
      <c r="AO344" s="7">
        <f t="shared" ref="AO344:AO364" si="64">AN344*100</f>
        <v>329.16157763630076</v>
      </c>
    </row>
    <row r="345" spans="1:41" x14ac:dyDescent="0.2">
      <c r="A345">
        <v>2</v>
      </c>
      <c r="B345">
        <v>74</v>
      </c>
      <c r="C345">
        <v>48</v>
      </c>
      <c r="D345">
        <v>3.4500000000000003E-2</v>
      </c>
      <c r="E345">
        <v>40</v>
      </c>
      <c r="F345">
        <f t="shared" si="47"/>
        <v>23768.115942028984</v>
      </c>
      <c r="G345">
        <f t="shared" si="48"/>
        <v>4.9654999999999996</v>
      </c>
      <c r="H345">
        <f t="shared" si="49"/>
        <v>118020.57971014491</v>
      </c>
      <c r="I345">
        <f t="shared" si="50"/>
        <v>0.56061403946103461</v>
      </c>
      <c r="J345">
        <f t="shared" si="54"/>
        <v>-8.1677254080727053</v>
      </c>
      <c r="K345">
        <f t="shared" si="55"/>
        <v>-8.1677254080727213</v>
      </c>
      <c r="M345">
        <v>81</v>
      </c>
      <c r="N345">
        <v>30</v>
      </c>
      <c r="O345">
        <v>3.3799999999999997E-2</v>
      </c>
      <c r="P345">
        <v>8</v>
      </c>
      <c r="Q345">
        <v>22.5</v>
      </c>
      <c r="R345">
        <f t="shared" si="51"/>
        <v>24260.3550295858</v>
      </c>
      <c r="S345">
        <f t="shared" si="52"/>
        <v>4.9661999999999997</v>
      </c>
      <c r="T345">
        <f t="shared" si="53"/>
        <v>120481.775147929</v>
      </c>
      <c r="U345">
        <f t="shared" si="56"/>
        <v>0.62859520926480283</v>
      </c>
      <c r="V345">
        <f t="shared" si="57"/>
        <v>-4.6755696994655915</v>
      </c>
      <c r="Y345">
        <v>0.61047604663199384</v>
      </c>
      <c r="Z345">
        <v>0.65798561640148023</v>
      </c>
      <c r="AA345">
        <v>0.65594261888548544</v>
      </c>
      <c r="AB345">
        <f t="shared" si="58"/>
        <v>0.64146809397298654</v>
      </c>
      <c r="AF345">
        <v>0.12221200023806032</v>
      </c>
      <c r="AG345">
        <v>54</v>
      </c>
      <c r="AH345">
        <v>0.64146809397298654</v>
      </c>
      <c r="AI345">
        <v>0.13</v>
      </c>
      <c r="AJ345">
        <f t="shared" si="59"/>
        <v>0.51146809397298654</v>
      </c>
      <c r="AK345">
        <f t="shared" si="60"/>
        <v>3.9343699536383578</v>
      </c>
      <c r="AL345">
        <f t="shared" si="61"/>
        <v>393.43699536383576</v>
      </c>
      <c r="AM345" s="7">
        <f t="shared" si="62"/>
        <v>0.51146809397298654</v>
      </c>
      <c r="AN345" s="7">
        <f t="shared" si="63"/>
        <v>3.9343699536383578</v>
      </c>
      <c r="AO345" s="7">
        <f t="shared" si="64"/>
        <v>393.43699536383576</v>
      </c>
    </row>
    <row r="346" spans="1:41" x14ac:dyDescent="0.2">
      <c r="A346">
        <v>2.5</v>
      </c>
      <c r="B346">
        <v>90</v>
      </c>
      <c r="C346">
        <v>45</v>
      </c>
      <c r="D346">
        <v>3.6499999999999998E-2</v>
      </c>
      <c r="E346">
        <v>20</v>
      </c>
      <c r="F346">
        <f t="shared" si="47"/>
        <v>22465.753424657534</v>
      </c>
      <c r="G346">
        <f t="shared" si="48"/>
        <v>4.9634999999999998</v>
      </c>
      <c r="H346">
        <f t="shared" si="49"/>
        <v>111508.76712328766</v>
      </c>
      <c r="I346">
        <f t="shared" si="50"/>
        <v>0.52968203109861978</v>
      </c>
      <c r="J346">
        <f t="shared" si="54"/>
        <v>-5.5175229632408804</v>
      </c>
      <c r="K346">
        <f t="shared" si="55"/>
        <v>-5.5175229632408733</v>
      </c>
      <c r="M346">
        <v>98</v>
      </c>
      <c r="N346">
        <v>44</v>
      </c>
      <c r="O346">
        <v>3.5700000000000003E-2</v>
      </c>
      <c r="P346">
        <v>6</v>
      </c>
      <c r="Q346">
        <v>22.5</v>
      </c>
      <c r="R346">
        <f t="shared" si="51"/>
        <v>22969.187675070025</v>
      </c>
      <c r="S346">
        <f t="shared" si="52"/>
        <v>4.9642999999999997</v>
      </c>
      <c r="T346">
        <f t="shared" si="53"/>
        <v>114025.93837535012</v>
      </c>
      <c r="U346">
        <f t="shared" si="56"/>
        <v>0.59491286965737222</v>
      </c>
      <c r="V346">
        <f t="shared" si="57"/>
        <v>-5.6617265023749139</v>
      </c>
      <c r="Y346">
        <v>0.56061403946103461</v>
      </c>
      <c r="Z346">
        <v>0.62859520926480283</v>
      </c>
      <c r="AA346">
        <v>0.63236330281429087</v>
      </c>
      <c r="AB346">
        <f t="shared" si="58"/>
        <v>0.60719085051337618</v>
      </c>
      <c r="AF346">
        <v>9.6675649238680841E-2</v>
      </c>
      <c r="AG346">
        <v>71.333333333333329</v>
      </c>
      <c r="AH346">
        <v>0.60719085051337618</v>
      </c>
      <c r="AI346">
        <v>0.1</v>
      </c>
      <c r="AJ346">
        <f t="shared" si="59"/>
        <v>0.5071908505133762</v>
      </c>
      <c r="AK346">
        <f t="shared" si="60"/>
        <v>5.071908505133762</v>
      </c>
      <c r="AL346">
        <f t="shared" si="61"/>
        <v>507.19085051337618</v>
      </c>
      <c r="AM346" s="7">
        <f t="shared" si="62"/>
        <v>0.5071908505133762</v>
      </c>
      <c r="AN346" s="7">
        <f t="shared" si="63"/>
        <v>5.071908505133762</v>
      </c>
      <c r="AO346" s="7">
        <f t="shared" si="64"/>
        <v>507.19085051337618</v>
      </c>
    </row>
    <row r="347" spans="1:41" x14ac:dyDescent="0.2">
      <c r="A347">
        <v>3</v>
      </c>
      <c r="B347">
        <v>106</v>
      </c>
      <c r="C347">
        <v>37</v>
      </c>
      <c r="D347">
        <v>3.8100000000000002E-2</v>
      </c>
      <c r="E347">
        <v>20</v>
      </c>
      <c r="F347">
        <f t="shared" si="47"/>
        <v>21522.309711286089</v>
      </c>
      <c r="G347">
        <f t="shared" si="48"/>
        <v>4.9619</v>
      </c>
      <c r="H347">
        <f t="shared" si="49"/>
        <v>106791.54855643044</v>
      </c>
      <c r="I347">
        <f t="shared" si="50"/>
        <v>0.50727459196994129</v>
      </c>
      <c r="J347">
        <f t="shared" si="54"/>
        <v>-4.2303566693027044</v>
      </c>
      <c r="K347">
        <f t="shared" si="55"/>
        <v>-4.2303566693027044</v>
      </c>
      <c r="M347">
        <v>112</v>
      </c>
      <c r="N347">
        <v>30</v>
      </c>
      <c r="O347">
        <v>3.6499999999999998E-2</v>
      </c>
      <c r="P347">
        <v>8</v>
      </c>
      <c r="Q347">
        <v>22.5</v>
      </c>
      <c r="R347">
        <f t="shared" si="51"/>
        <v>22465.753424657534</v>
      </c>
      <c r="S347">
        <f t="shared" si="52"/>
        <v>4.9634999999999998</v>
      </c>
      <c r="T347">
        <f t="shared" si="53"/>
        <v>111508.76712328766</v>
      </c>
      <c r="U347">
        <f t="shared" si="56"/>
        <v>0.58177991417092789</v>
      </c>
      <c r="V347">
        <f t="shared" si="57"/>
        <v>-2.2573751974850476</v>
      </c>
      <c r="Y347">
        <v>0.52968203109861978</v>
      </c>
      <c r="Z347">
        <v>0.59491286965737222</v>
      </c>
      <c r="AA347">
        <v>0.60689764145740099</v>
      </c>
      <c r="AB347">
        <f t="shared" si="58"/>
        <v>0.57716418073779774</v>
      </c>
      <c r="AF347">
        <v>8.2057434637165014E-2</v>
      </c>
      <c r="AG347">
        <v>86.666666666666671</v>
      </c>
      <c r="AH347">
        <v>0.57716418073779774</v>
      </c>
      <c r="AI347">
        <v>0.08</v>
      </c>
      <c r="AJ347">
        <f t="shared" si="59"/>
        <v>0.49716418073779772</v>
      </c>
      <c r="AK347">
        <f t="shared" si="60"/>
        <v>6.2145522592224713</v>
      </c>
      <c r="AL347">
        <f t="shared" si="61"/>
        <v>621.45522592224711</v>
      </c>
      <c r="AM347" s="7">
        <f t="shared" si="62"/>
        <v>0.49716418073779772</v>
      </c>
      <c r="AN347" s="7">
        <f t="shared" si="63"/>
        <v>6.2145522592224713</v>
      </c>
      <c r="AO347" s="7">
        <f t="shared" si="64"/>
        <v>621.45522592224711</v>
      </c>
    </row>
    <row r="348" spans="1:41" x14ac:dyDescent="0.2">
      <c r="A348">
        <v>3.5</v>
      </c>
      <c r="B348">
        <v>124</v>
      </c>
      <c r="C348">
        <v>33</v>
      </c>
      <c r="D348">
        <v>3.95E-2</v>
      </c>
      <c r="E348">
        <v>22</v>
      </c>
      <c r="F348">
        <f t="shared" si="47"/>
        <v>20759.493670886077</v>
      </c>
      <c r="G348">
        <f t="shared" si="48"/>
        <v>4.9604999999999997</v>
      </c>
      <c r="H348">
        <f t="shared" si="49"/>
        <v>102977.46835443038</v>
      </c>
      <c r="I348">
        <f t="shared" si="50"/>
        <v>0.48915718469975983</v>
      </c>
      <c r="J348">
        <f t="shared" si="54"/>
        <v>-3.571518770499551</v>
      </c>
      <c r="K348">
        <f t="shared" si="55"/>
        <v>-3.5715187704995515</v>
      </c>
      <c r="M348">
        <v>129</v>
      </c>
      <c r="N348">
        <v>30</v>
      </c>
      <c r="O348">
        <v>3.6999999999999998E-2</v>
      </c>
      <c r="P348">
        <v>8</v>
      </c>
      <c r="Q348">
        <v>22.5</v>
      </c>
      <c r="R348">
        <f t="shared" si="51"/>
        <v>22162.162162162163</v>
      </c>
      <c r="S348">
        <f t="shared" si="52"/>
        <v>4.9630000000000001</v>
      </c>
      <c r="T348">
        <f t="shared" si="53"/>
        <v>109990.81081081081</v>
      </c>
      <c r="U348">
        <f t="shared" si="56"/>
        <v>0.57386020959548778</v>
      </c>
      <c r="V348">
        <f t="shared" si="57"/>
        <v>-1.3800755729383614</v>
      </c>
      <c r="Y348">
        <v>0.50727459196994129</v>
      </c>
      <c r="Z348">
        <v>0.58177991417092789</v>
      </c>
      <c r="AA348">
        <v>0.58178082477663284</v>
      </c>
      <c r="AB348">
        <f t="shared" si="58"/>
        <v>0.55694511030583405</v>
      </c>
      <c r="AF348">
        <v>7.233685925700295E-2</v>
      </c>
      <c r="AG348">
        <v>100.66666666666667</v>
      </c>
      <c r="AH348">
        <v>0.55694511030583405</v>
      </c>
      <c r="AI348">
        <v>7.0000000000000007E-2</v>
      </c>
      <c r="AJ348">
        <f t="shared" si="59"/>
        <v>0.48694511030583404</v>
      </c>
      <c r="AK348">
        <f t="shared" si="60"/>
        <v>6.9563587186547711</v>
      </c>
      <c r="AL348">
        <f t="shared" si="61"/>
        <v>695.63587186547716</v>
      </c>
      <c r="AM348" s="7">
        <f t="shared" si="62"/>
        <v>0.48694511030583404</v>
      </c>
      <c r="AN348" s="7">
        <f t="shared" si="63"/>
        <v>6.9563587186547711</v>
      </c>
      <c r="AO348" s="7">
        <f t="shared" si="64"/>
        <v>695.63587186547716</v>
      </c>
    </row>
    <row r="349" spans="1:41" x14ac:dyDescent="0.2">
      <c r="A349">
        <v>4</v>
      </c>
      <c r="B349">
        <v>148</v>
      </c>
      <c r="C349">
        <v>50</v>
      </c>
      <c r="D349">
        <v>4.1399999999999999E-2</v>
      </c>
      <c r="E349">
        <v>30</v>
      </c>
      <c r="F349">
        <f t="shared" si="47"/>
        <v>19806.763285024153</v>
      </c>
      <c r="G349">
        <f t="shared" si="48"/>
        <v>4.9585999999999997</v>
      </c>
      <c r="H349">
        <f t="shared" si="49"/>
        <v>98213.816425120764</v>
      </c>
      <c r="I349">
        <f t="shared" si="50"/>
        <v>0.4665291806920227</v>
      </c>
      <c r="J349">
        <f t="shared" si="54"/>
        <v>-4.6259167227863536</v>
      </c>
      <c r="K349">
        <f t="shared" si="55"/>
        <v>-4.6259167227863545</v>
      </c>
      <c r="M349">
        <v>146</v>
      </c>
      <c r="N349">
        <v>30</v>
      </c>
      <c r="O349">
        <v>3.7999999999999999E-2</v>
      </c>
      <c r="P349">
        <v>8</v>
      </c>
      <c r="Q349">
        <v>22.5</v>
      </c>
      <c r="R349">
        <f t="shared" si="51"/>
        <v>21578.947368421053</v>
      </c>
      <c r="S349">
        <f t="shared" si="52"/>
        <v>4.9619999999999997</v>
      </c>
      <c r="T349">
        <f t="shared" si="53"/>
        <v>107074.73684210527</v>
      </c>
      <c r="U349">
        <f t="shared" si="56"/>
        <v>0.55864604027951037</v>
      </c>
      <c r="V349">
        <f t="shared" si="57"/>
        <v>-2.7234005468588287</v>
      </c>
      <c r="Y349">
        <v>0.48915718469975983</v>
      </c>
      <c r="Z349">
        <v>0.57386020959548778</v>
      </c>
      <c r="AA349">
        <v>0.56162535460070773</v>
      </c>
      <c r="AB349">
        <f t="shared" si="58"/>
        <v>0.54154758296531846</v>
      </c>
      <c r="AF349">
        <v>6.4197153379672314E-2</v>
      </c>
      <c r="AG349">
        <v>116</v>
      </c>
      <c r="AH349">
        <v>0.54154758296531846</v>
      </c>
      <c r="AI349">
        <v>6.5000000000000002E-2</v>
      </c>
      <c r="AJ349">
        <f t="shared" si="59"/>
        <v>0.47654758296531846</v>
      </c>
      <c r="AK349">
        <f t="shared" si="60"/>
        <v>7.3315012763895142</v>
      </c>
      <c r="AL349">
        <f t="shared" si="61"/>
        <v>733.1501276389514</v>
      </c>
      <c r="AM349" s="7">
        <f t="shared" si="62"/>
        <v>0.47654758296531846</v>
      </c>
      <c r="AN349" s="7">
        <f t="shared" si="63"/>
        <v>7.3315012763895142</v>
      </c>
      <c r="AO349" s="7">
        <f t="shared" si="64"/>
        <v>733.1501276389514</v>
      </c>
    </row>
    <row r="350" spans="1:41" x14ac:dyDescent="0.2">
      <c r="A350">
        <v>4.5</v>
      </c>
      <c r="B350">
        <v>170</v>
      </c>
      <c r="C350">
        <v>60</v>
      </c>
      <c r="D350">
        <v>4.2599999999999999E-2</v>
      </c>
      <c r="E350">
        <v>25</v>
      </c>
      <c r="F350">
        <f t="shared" si="47"/>
        <v>19248.826291079811</v>
      </c>
      <c r="G350">
        <f t="shared" si="48"/>
        <v>4.9573999999999998</v>
      </c>
      <c r="H350">
        <f t="shared" si="49"/>
        <v>95424.131455399052</v>
      </c>
      <c r="I350">
        <f t="shared" si="50"/>
        <v>0.45327779213300695</v>
      </c>
      <c r="J350">
        <f t="shared" si="54"/>
        <v>-2.8404200867691523</v>
      </c>
      <c r="K350">
        <f t="shared" si="55"/>
        <v>-2.8404200867691491</v>
      </c>
      <c r="M350">
        <v>165</v>
      </c>
      <c r="N350">
        <v>37</v>
      </c>
      <c r="O350">
        <v>3.9399999999999998E-2</v>
      </c>
      <c r="P350">
        <v>4</v>
      </c>
      <c r="Q350">
        <v>22.5</v>
      </c>
      <c r="R350">
        <f t="shared" si="51"/>
        <v>20812.182741116754</v>
      </c>
      <c r="S350">
        <f t="shared" si="52"/>
        <v>4.9606000000000003</v>
      </c>
      <c r="T350">
        <f t="shared" si="53"/>
        <v>103240.91370558378</v>
      </c>
      <c r="U350">
        <f t="shared" si="56"/>
        <v>0.53864365523972291</v>
      </c>
      <c r="V350">
        <f t="shared" si="57"/>
        <v>-3.7134726911218117</v>
      </c>
      <c r="Y350">
        <v>0.4665291806920227</v>
      </c>
      <c r="Z350">
        <v>0.55864604027951037</v>
      </c>
      <c r="AA350">
        <v>0.54704021063914432</v>
      </c>
      <c r="AB350">
        <f t="shared" si="58"/>
        <v>0.52407181053689245</v>
      </c>
      <c r="AF350">
        <v>5.685480283337551E-2</v>
      </c>
      <c r="AG350">
        <v>134</v>
      </c>
      <c r="AH350">
        <v>0.52407181053689245</v>
      </c>
      <c r="AI350">
        <v>5.3999999999999999E-2</v>
      </c>
      <c r="AJ350">
        <f t="shared" si="59"/>
        <v>0.47007181053689245</v>
      </c>
      <c r="AK350">
        <f t="shared" si="60"/>
        <v>8.7050335284609712</v>
      </c>
      <c r="AL350">
        <f t="shared" si="61"/>
        <v>870.50335284609707</v>
      </c>
      <c r="AM350" s="7">
        <f t="shared" si="62"/>
        <v>0.47007181053689245</v>
      </c>
      <c r="AN350" s="7">
        <f t="shared" si="63"/>
        <v>8.7050335284609712</v>
      </c>
      <c r="AO350" s="7">
        <f t="shared" si="64"/>
        <v>870.50335284609707</v>
      </c>
    </row>
    <row r="351" spans="1:41" x14ac:dyDescent="0.2">
      <c r="A351">
        <v>5</v>
      </c>
      <c r="B351">
        <v>183</v>
      </c>
      <c r="C351">
        <v>31</v>
      </c>
      <c r="D351">
        <v>4.2999999999999997E-2</v>
      </c>
      <c r="E351">
        <v>20</v>
      </c>
      <c r="F351">
        <f t="shared" si="47"/>
        <v>19069.767441860466</v>
      </c>
      <c r="G351">
        <f t="shared" si="48"/>
        <v>4.9569999999999999</v>
      </c>
      <c r="H351">
        <f t="shared" si="49"/>
        <v>94528.837209302321</v>
      </c>
      <c r="I351">
        <f t="shared" si="50"/>
        <v>0.44902502092104374</v>
      </c>
      <c r="J351">
        <f t="shared" si="54"/>
        <v>-0.93822624575334945</v>
      </c>
      <c r="K351">
        <f t="shared" si="55"/>
        <v>-0.93822624575335634</v>
      </c>
      <c r="M351">
        <v>182</v>
      </c>
      <c r="N351">
        <v>37</v>
      </c>
      <c r="O351">
        <v>3.9600000000000003E-2</v>
      </c>
      <c r="P351">
        <v>4</v>
      </c>
      <c r="Q351">
        <v>22.5</v>
      </c>
      <c r="R351">
        <f t="shared" si="51"/>
        <v>20707.070707070707</v>
      </c>
      <c r="S351">
        <f t="shared" si="52"/>
        <v>4.9603999999999999</v>
      </c>
      <c r="T351">
        <f t="shared" si="53"/>
        <v>102715.35353535353</v>
      </c>
      <c r="U351">
        <f t="shared" si="56"/>
        <v>0.53590162554451382</v>
      </c>
      <c r="V351">
        <f t="shared" si="57"/>
        <v>-0.511666612771147</v>
      </c>
      <c r="Y351">
        <v>0.45327779213300695</v>
      </c>
      <c r="Z351">
        <v>0.53864365523972291</v>
      </c>
      <c r="AA351">
        <v>0.52520581690658574</v>
      </c>
      <c r="AB351">
        <f t="shared" si="58"/>
        <v>0.50570908809310522</v>
      </c>
      <c r="AF351">
        <v>5.1035932459516216E-2</v>
      </c>
      <c r="AG351">
        <v>152.33333333333334</v>
      </c>
      <c r="AH351">
        <v>0.50570908809310522</v>
      </c>
      <c r="AI351">
        <v>0.05</v>
      </c>
      <c r="AJ351">
        <f t="shared" si="59"/>
        <v>0.45570908809310523</v>
      </c>
      <c r="AK351">
        <f t="shared" si="60"/>
        <v>9.1141817618621044</v>
      </c>
      <c r="AL351">
        <f t="shared" si="61"/>
        <v>911.41817618621042</v>
      </c>
      <c r="AM351" s="7">
        <f t="shared" si="62"/>
        <v>0.45570908809310523</v>
      </c>
      <c r="AN351" s="7">
        <f t="shared" si="63"/>
        <v>9.1141817618621044</v>
      </c>
      <c r="AO351" s="7">
        <f t="shared" si="64"/>
        <v>911.41817618621042</v>
      </c>
    </row>
    <row r="352" spans="1:41" x14ac:dyDescent="0.2">
      <c r="A352">
        <v>5.5</v>
      </c>
      <c r="B352">
        <v>195</v>
      </c>
      <c r="C352">
        <v>28</v>
      </c>
      <c r="D352">
        <v>4.36E-2</v>
      </c>
      <c r="E352">
        <v>15</v>
      </c>
      <c r="F352">
        <f t="shared" si="47"/>
        <v>18807.339449541283</v>
      </c>
      <c r="G352">
        <f t="shared" si="48"/>
        <v>4.9564000000000004</v>
      </c>
      <c r="H352">
        <f t="shared" si="49"/>
        <v>93216.697247706426</v>
      </c>
      <c r="I352">
        <f t="shared" si="50"/>
        <v>0.44279217503929041</v>
      </c>
      <c r="J352">
        <f t="shared" si="54"/>
        <v>-1.3880843140920074</v>
      </c>
      <c r="K352">
        <f t="shared" si="55"/>
        <v>-1.3880843140919987</v>
      </c>
      <c r="M352">
        <v>199</v>
      </c>
      <c r="N352">
        <v>28</v>
      </c>
      <c r="O352">
        <v>3.9399999999999998E-2</v>
      </c>
      <c r="P352">
        <v>8</v>
      </c>
      <c r="Q352">
        <v>22.5</v>
      </c>
      <c r="R352">
        <f t="shared" si="51"/>
        <v>20812.182741116754</v>
      </c>
      <c r="S352">
        <f t="shared" si="52"/>
        <v>4.9606000000000003</v>
      </c>
      <c r="T352">
        <f t="shared" si="53"/>
        <v>103240.91370558378</v>
      </c>
      <c r="U352">
        <f t="shared" si="56"/>
        <v>0.53864365523972291</v>
      </c>
      <c r="V352">
        <f t="shared" si="57"/>
        <v>0.50906191292437875</v>
      </c>
      <c r="Y352">
        <v>0.44902502092104374</v>
      </c>
      <c r="Z352">
        <v>0.53590162554451382</v>
      </c>
      <c r="AA352">
        <v>0.51366742360844808</v>
      </c>
      <c r="AB352">
        <f t="shared" si="58"/>
        <v>0.49953135669133514</v>
      </c>
      <c r="AF352">
        <v>4.7234805272599212E-2</v>
      </c>
      <c r="AG352">
        <v>167</v>
      </c>
      <c r="AH352">
        <v>0.49953135669133514</v>
      </c>
      <c r="AI352">
        <v>4.2999999999999997E-2</v>
      </c>
      <c r="AJ352">
        <f t="shared" si="59"/>
        <v>0.45653135669133516</v>
      </c>
      <c r="AK352">
        <f t="shared" si="60"/>
        <v>10.617008295147331</v>
      </c>
      <c r="AL352">
        <f t="shared" si="61"/>
        <v>1061.7008295147332</v>
      </c>
      <c r="AM352" s="7">
        <f t="shared" si="62"/>
        <v>0.45653135669133516</v>
      </c>
      <c r="AN352" s="7">
        <f t="shared" si="63"/>
        <v>10.617008295147331</v>
      </c>
      <c r="AO352" s="7">
        <f t="shared" si="64"/>
        <v>1061.7008295147332</v>
      </c>
    </row>
    <row r="353" spans="1:41" x14ac:dyDescent="0.2">
      <c r="A353">
        <v>6</v>
      </c>
      <c r="B353">
        <v>208</v>
      </c>
      <c r="C353">
        <v>40</v>
      </c>
      <c r="D353">
        <v>4.41E-2</v>
      </c>
      <c r="E353">
        <v>11</v>
      </c>
      <c r="F353">
        <f t="shared" si="47"/>
        <v>18594.104308390022</v>
      </c>
      <c r="G353">
        <f t="shared" si="48"/>
        <v>4.9558999999999997</v>
      </c>
      <c r="H353">
        <f t="shared" si="49"/>
        <v>92150.521541950104</v>
      </c>
      <c r="I353">
        <f t="shared" si="50"/>
        <v>0.43772769331375372</v>
      </c>
      <c r="J353">
        <f t="shared" si="54"/>
        <v>-1.1437604391015428</v>
      </c>
      <c r="K353">
        <f t="shared" si="55"/>
        <v>-1.1437604391015508</v>
      </c>
      <c r="M353">
        <v>223</v>
      </c>
      <c r="N353">
        <v>40</v>
      </c>
      <c r="O353">
        <v>0.04</v>
      </c>
      <c r="P353">
        <v>4</v>
      </c>
      <c r="Q353">
        <v>22.5</v>
      </c>
      <c r="R353">
        <f t="shared" si="51"/>
        <v>20500</v>
      </c>
      <c r="S353">
        <f t="shared" si="52"/>
        <v>4.96</v>
      </c>
      <c r="T353">
        <f t="shared" si="53"/>
        <v>101680</v>
      </c>
      <c r="U353">
        <f t="shared" si="56"/>
        <v>0.53049982704495213</v>
      </c>
      <c r="V353">
        <f t="shared" si="57"/>
        <v>-1.5351236286229133</v>
      </c>
      <c r="Y353">
        <v>0.44279217503929041</v>
      </c>
      <c r="Z353">
        <v>0.53864365523972291</v>
      </c>
      <c r="AA353">
        <v>0.48974383678551942</v>
      </c>
      <c r="AB353">
        <f t="shared" si="58"/>
        <v>0.49039322235484423</v>
      </c>
      <c r="AF353">
        <v>4.4276511633847791E-2</v>
      </c>
      <c r="AG353">
        <v>180.33333333333334</v>
      </c>
      <c r="AH353">
        <v>0.49039322235484423</v>
      </c>
      <c r="AI353">
        <v>0.04</v>
      </c>
      <c r="AJ353">
        <f t="shared" si="59"/>
        <v>0.45039322235484425</v>
      </c>
      <c r="AK353">
        <f t="shared" si="60"/>
        <v>11.259830558871107</v>
      </c>
      <c r="AL353">
        <f t="shared" si="61"/>
        <v>1125.9830558871106</v>
      </c>
      <c r="AM353" s="7">
        <f t="shared" si="62"/>
        <v>0.45039322235484425</v>
      </c>
      <c r="AN353" s="7">
        <f t="shared" si="63"/>
        <v>11.259830558871107</v>
      </c>
      <c r="AO353" s="7">
        <f t="shared" si="64"/>
        <v>1125.9830558871106</v>
      </c>
    </row>
    <row r="354" spans="1:41" x14ac:dyDescent="0.2">
      <c r="A354">
        <v>6.5</v>
      </c>
      <c r="B354">
        <v>222</v>
      </c>
      <c r="C354">
        <v>30</v>
      </c>
      <c r="D354">
        <v>4.4600000000000001E-2</v>
      </c>
      <c r="E354">
        <v>20</v>
      </c>
      <c r="F354">
        <f t="shared" si="47"/>
        <v>18385.650224215246</v>
      </c>
      <c r="G354">
        <f t="shared" si="48"/>
        <v>4.9554</v>
      </c>
      <c r="H354">
        <f t="shared" si="49"/>
        <v>91108.251121076231</v>
      </c>
      <c r="I354">
        <f t="shared" si="50"/>
        <v>0.43277676499013507</v>
      </c>
      <c r="J354">
        <f t="shared" si="54"/>
        <v>-1.1310521128189108</v>
      </c>
      <c r="K354">
        <f t="shared" si="55"/>
        <v>-1.1310521128189015</v>
      </c>
      <c r="M354">
        <v>239</v>
      </c>
      <c r="N354">
        <v>39</v>
      </c>
      <c r="O354">
        <v>4.0599999999999997E-2</v>
      </c>
      <c r="P354">
        <v>8</v>
      </c>
      <c r="Q354">
        <v>22.5</v>
      </c>
      <c r="R354">
        <f t="shared" si="51"/>
        <v>20197.04433497537</v>
      </c>
      <c r="S354">
        <f t="shared" si="52"/>
        <v>4.9593999999999996</v>
      </c>
      <c r="T354">
        <f t="shared" si="53"/>
        <v>100165.22167487684</v>
      </c>
      <c r="U354">
        <f t="shared" si="56"/>
        <v>0.52259670313180029</v>
      </c>
      <c r="V354">
        <f t="shared" si="57"/>
        <v>-1.5122797112554007</v>
      </c>
      <c r="Y354">
        <v>0.43772769331375372</v>
      </c>
      <c r="Z354">
        <v>0.53049982704495213</v>
      </c>
      <c r="AA354">
        <v>0.49551512262539649</v>
      </c>
      <c r="AB354">
        <f t="shared" si="58"/>
        <v>0.48791421432803411</v>
      </c>
      <c r="AF354">
        <v>4.1159311430530837E-2</v>
      </c>
      <c r="AG354">
        <v>196.66666666666666</v>
      </c>
      <c r="AH354">
        <v>0.48791421432803411</v>
      </c>
      <c r="AI354">
        <v>3.9E-2</v>
      </c>
      <c r="AJ354">
        <f t="shared" si="59"/>
        <v>0.44891421432803413</v>
      </c>
      <c r="AK354">
        <f t="shared" si="60"/>
        <v>11.510620880206003</v>
      </c>
      <c r="AL354">
        <f t="shared" si="61"/>
        <v>1151.0620880206004</v>
      </c>
      <c r="AM354" s="7">
        <f t="shared" si="62"/>
        <v>0.44891421432803413</v>
      </c>
      <c r="AN354" s="7">
        <f t="shared" si="63"/>
        <v>11.510620880206003</v>
      </c>
      <c r="AO354" s="7">
        <f t="shared" si="64"/>
        <v>1151.0620880206004</v>
      </c>
    </row>
    <row r="355" spans="1:41" x14ac:dyDescent="0.2">
      <c r="A355">
        <v>7</v>
      </c>
      <c r="B355">
        <v>238</v>
      </c>
      <c r="C355">
        <v>31</v>
      </c>
      <c r="D355">
        <v>4.5100000000000001E-2</v>
      </c>
      <c r="E355">
        <v>25</v>
      </c>
      <c r="F355">
        <f t="shared" si="47"/>
        <v>18181.81818181818</v>
      </c>
      <c r="G355">
        <f t="shared" si="48"/>
        <v>4.9549000000000003</v>
      </c>
      <c r="H355">
        <f t="shared" si="49"/>
        <v>90089.090909090912</v>
      </c>
      <c r="I355">
        <f t="shared" si="50"/>
        <v>0.42793561334774954</v>
      </c>
      <c r="J355">
        <f t="shared" si="54"/>
        <v>-1.118625590377023</v>
      </c>
      <c r="K355">
        <f t="shared" si="55"/>
        <v>-1.1186255903770326</v>
      </c>
      <c r="M355">
        <v>253</v>
      </c>
      <c r="N355">
        <v>29</v>
      </c>
      <c r="O355">
        <v>0.04</v>
      </c>
      <c r="P355">
        <v>8</v>
      </c>
      <c r="Q355">
        <v>22.5</v>
      </c>
      <c r="R355">
        <f t="shared" si="51"/>
        <v>20500</v>
      </c>
      <c r="S355">
        <f t="shared" si="52"/>
        <v>4.96</v>
      </c>
      <c r="T355">
        <f t="shared" si="53"/>
        <v>101680</v>
      </c>
      <c r="U355">
        <f t="shared" si="56"/>
        <v>0.53049982704495213</v>
      </c>
      <c r="V355">
        <f t="shared" si="57"/>
        <v>1.4897505164468523</v>
      </c>
      <c r="Y355">
        <v>0.43277676499013507</v>
      </c>
      <c r="Z355">
        <v>0.52259670313180029</v>
      </c>
      <c r="AA355">
        <v>0.48974383678551942</v>
      </c>
      <c r="AB355">
        <f t="shared" si="58"/>
        <v>0.48170576830248496</v>
      </c>
      <c r="AF355">
        <v>3.899973454861512E-2</v>
      </c>
      <c r="AG355">
        <v>209.66666666666666</v>
      </c>
      <c r="AH355">
        <v>0.48170576830248496</v>
      </c>
      <c r="AI355">
        <v>3.6999999999999998E-2</v>
      </c>
      <c r="AJ355">
        <f t="shared" si="59"/>
        <v>0.44470576830248498</v>
      </c>
      <c r="AK355">
        <f t="shared" si="60"/>
        <v>12.019074818986081</v>
      </c>
      <c r="AL355">
        <f t="shared" si="61"/>
        <v>1201.907481898608</v>
      </c>
      <c r="AM355" s="7">
        <f t="shared" si="62"/>
        <v>0.44470576830248498</v>
      </c>
      <c r="AN355" s="7">
        <f t="shared" si="63"/>
        <v>12.019074818986081</v>
      </c>
      <c r="AO355" s="7">
        <f t="shared" si="64"/>
        <v>1201.907481898608</v>
      </c>
    </row>
    <row r="356" spans="1:41" x14ac:dyDescent="0.2">
      <c r="A356">
        <v>7.5</v>
      </c>
      <c r="B356">
        <v>252</v>
      </c>
      <c r="C356">
        <v>27</v>
      </c>
      <c r="D356">
        <v>4.5600000000000002E-2</v>
      </c>
      <c r="E356">
        <v>21</v>
      </c>
      <c r="F356">
        <f t="shared" si="47"/>
        <v>17982.456140350878</v>
      </c>
      <c r="G356">
        <f t="shared" si="48"/>
        <v>4.9543999999999997</v>
      </c>
      <c r="H356">
        <f t="shared" si="49"/>
        <v>89092.280701754382</v>
      </c>
      <c r="I356">
        <f t="shared" si="50"/>
        <v>0.42320062731155667</v>
      </c>
      <c r="J356">
        <f t="shared" si="54"/>
        <v>-1.1064716019194967</v>
      </c>
      <c r="K356">
        <f t="shared" si="55"/>
        <v>-1.1064716019194991</v>
      </c>
      <c r="M356">
        <v>273</v>
      </c>
      <c r="N356">
        <v>48</v>
      </c>
      <c r="O356">
        <v>4.02E-2</v>
      </c>
      <c r="P356">
        <v>5</v>
      </c>
      <c r="Q356">
        <v>22.5</v>
      </c>
      <c r="R356">
        <f t="shared" si="51"/>
        <v>20398.009950248757</v>
      </c>
      <c r="S356">
        <f t="shared" si="52"/>
        <v>4.9598000000000004</v>
      </c>
      <c r="T356">
        <f t="shared" si="53"/>
        <v>101170.0497512438</v>
      </c>
      <c r="U356">
        <f t="shared" si="56"/>
        <v>0.5278392397242726</v>
      </c>
      <c r="V356">
        <f t="shared" si="57"/>
        <v>-0.50405258276541387</v>
      </c>
      <c r="Y356">
        <v>0.42793561334774954</v>
      </c>
      <c r="Z356">
        <v>0.53049982704495213</v>
      </c>
      <c r="AA356">
        <v>0.48078198521375559</v>
      </c>
      <c r="AB356">
        <f t="shared" si="58"/>
        <v>0.47973914186881911</v>
      </c>
      <c r="AF356">
        <v>3.7026844595187368E-2</v>
      </c>
      <c r="AG356">
        <v>223</v>
      </c>
      <c r="AH356">
        <v>0.47973914186881911</v>
      </c>
      <c r="AI356">
        <v>3.5000000000000003E-2</v>
      </c>
      <c r="AJ356">
        <f t="shared" si="59"/>
        <v>0.44473914186881913</v>
      </c>
      <c r="AK356">
        <f t="shared" si="60"/>
        <v>12.706832624823402</v>
      </c>
      <c r="AL356">
        <f t="shared" si="61"/>
        <v>1270.6832624823403</v>
      </c>
      <c r="AM356" s="7">
        <f t="shared" si="62"/>
        <v>0.44473914186881913</v>
      </c>
      <c r="AN356" s="7">
        <f t="shared" si="63"/>
        <v>12.706832624823402</v>
      </c>
      <c r="AO356" s="7">
        <f t="shared" si="64"/>
        <v>1270.6832624823403</v>
      </c>
    </row>
    <row r="357" spans="1:41" x14ac:dyDescent="0.2">
      <c r="A357">
        <v>8</v>
      </c>
      <c r="B357">
        <v>265</v>
      </c>
      <c r="C357">
        <v>20</v>
      </c>
      <c r="D357">
        <v>4.6100000000000002E-2</v>
      </c>
      <c r="E357">
        <v>15</v>
      </c>
      <c r="F357">
        <f t="shared" si="47"/>
        <v>17787.418655097612</v>
      </c>
      <c r="G357">
        <f t="shared" si="48"/>
        <v>4.9539</v>
      </c>
      <c r="H357">
        <f t="shared" si="49"/>
        <v>88117.093275488063</v>
      </c>
      <c r="I357">
        <f t="shared" si="50"/>
        <v>0.41856835246920748</v>
      </c>
      <c r="J357">
        <f t="shared" si="54"/>
        <v>-1.0945812797529109</v>
      </c>
      <c r="K357">
        <f t="shared" si="55"/>
        <v>-1.0945812797529104</v>
      </c>
      <c r="M357">
        <v>288</v>
      </c>
      <c r="N357">
        <v>37</v>
      </c>
      <c r="O357">
        <v>4.0599999999999997E-2</v>
      </c>
      <c r="P357">
        <v>2</v>
      </c>
      <c r="Q357">
        <v>22.5</v>
      </c>
      <c r="R357">
        <f t="shared" si="51"/>
        <v>20197.04433497537</v>
      </c>
      <c r="S357">
        <f t="shared" si="52"/>
        <v>4.9593999999999996</v>
      </c>
      <c r="T357">
        <f t="shared" si="53"/>
        <v>100165.22167487684</v>
      </c>
      <c r="U357">
        <f t="shared" si="56"/>
        <v>0.52259670313180029</v>
      </c>
      <c r="V357">
        <f t="shared" si="57"/>
        <v>-1.0031706210649649</v>
      </c>
      <c r="Y357">
        <v>0.42320062731155667</v>
      </c>
      <c r="Z357">
        <v>0.5278392397242726</v>
      </c>
      <c r="AA357">
        <v>0.47213948692740004</v>
      </c>
      <c r="AB357">
        <f t="shared" si="58"/>
        <v>0.47439311798774314</v>
      </c>
      <c r="AF357">
        <v>3.5093292025161781E-2</v>
      </c>
      <c r="AG357">
        <v>237.66666666666666</v>
      </c>
      <c r="AH357">
        <v>0.47439311798774314</v>
      </c>
      <c r="AI357">
        <v>3.4000000000000002E-2</v>
      </c>
      <c r="AJ357">
        <f>AH357-AI357</f>
        <v>0.44039311798774317</v>
      </c>
      <c r="AK357">
        <f t="shared" si="60"/>
        <v>12.952738764345387</v>
      </c>
      <c r="AL357">
        <f t="shared" si="61"/>
        <v>1295.2738764345388</v>
      </c>
      <c r="AM357" s="7">
        <f t="shared" si="62"/>
        <v>0.44039311798774317</v>
      </c>
      <c r="AN357" s="7">
        <f t="shared" si="63"/>
        <v>12.952738764345387</v>
      </c>
      <c r="AO357" s="7">
        <f t="shared" si="64"/>
        <v>1295.2738764345388</v>
      </c>
    </row>
    <row r="358" spans="1:41" x14ac:dyDescent="0.2">
      <c r="A358">
        <v>8.5</v>
      </c>
      <c r="B358">
        <v>282</v>
      </c>
      <c r="C358">
        <v>26</v>
      </c>
      <c r="D358">
        <v>4.6899999999999997E-2</v>
      </c>
      <c r="E358">
        <v>20</v>
      </c>
      <c r="F358">
        <f t="shared" si="47"/>
        <v>17484.008528784649</v>
      </c>
      <c r="G358">
        <f t="shared" si="48"/>
        <v>4.9531000000000001</v>
      </c>
      <c r="H358">
        <f t="shared" si="49"/>
        <v>86600.04264392324</v>
      </c>
      <c r="I358">
        <f t="shared" si="50"/>
        <v>0.41136215262916925</v>
      </c>
      <c r="J358">
        <f t="shared" si="54"/>
        <v>-1.7216303615712076</v>
      </c>
      <c r="K358">
        <f t="shared" si="55"/>
        <v>-1.7216303615711999</v>
      </c>
      <c r="M358">
        <v>304</v>
      </c>
      <c r="N358">
        <v>48</v>
      </c>
      <c r="O358">
        <v>4.0300000000000002E-2</v>
      </c>
      <c r="P358">
        <v>8</v>
      </c>
      <c r="Q358">
        <v>22.5</v>
      </c>
      <c r="R358">
        <f t="shared" si="51"/>
        <v>20347.394540942925</v>
      </c>
      <c r="S358">
        <f t="shared" si="52"/>
        <v>4.9596999999999998</v>
      </c>
      <c r="T358">
        <f t="shared" si="53"/>
        <v>100916.97270471462</v>
      </c>
      <c r="U358">
        <f t="shared" si="56"/>
        <v>0.5265188489944066</v>
      </c>
      <c r="V358">
        <f t="shared" si="57"/>
        <v>0.74492031388755142</v>
      </c>
      <c r="Y358">
        <v>0.41856835246920748</v>
      </c>
      <c r="Z358">
        <v>0.52259670313180029</v>
      </c>
      <c r="AA358">
        <v>0.47002676977424979</v>
      </c>
      <c r="AB358">
        <f t="shared" si="58"/>
        <v>0.47039727512508583</v>
      </c>
      <c r="AF358">
        <v>3.362977105284265E-2</v>
      </c>
      <c r="AG358">
        <v>250</v>
      </c>
      <c r="AH358">
        <v>0.47039727512508583</v>
      </c>
      <c r="AI358">
        <v>3.3000000000000002E-2</v>
      </c>
      <c r="AJ358">
        <f t="shared" si="59"/>
        <v>0.43739727512508586</v>
      </c>
      <c r="AK358">
        <f>AJ358/AI358</f>
        <v>13.254462882578359</v>
      </c>
      <c r="AL358">
        <f>AK358*100</f>
        <v>1325.4462882578359</v>
      </c>
      <c r="AM358" s="7">
        <f t="shared" si="62"/>
        <v>0.43739727512508586</v>
      </c>
      <c r="AN358" s="7">
        <f t="shared" si="63"/>
        <v>13.254462882578359</v>
      </c>
      <c r="AO358" s="7">
        <f t="shared" si="64"/>
        <v>1325.4462882578359</v>
      </c>
    </row>
    <row r="359" spans="1:41" x14ac:dyDescent="0.2">
      <c r="A359">
        <v>9</v>
      </c>
      <c r="B359">
        <v>300</v>
      </c>
      <c r="C359">
        <v>40</v>
      </c>
      <c r="D359">
        <v>4.7699999999999999E-2</v>
      </c>
      <c r="E359">
        <v>11</v>
      </c>
      <c r="F359">
        <f t="shared" si="47"/>
        <v>17190.775681341718</v>
      </c>
      <c r="G359">
        <f t="shared" si="48"/>
        <v>4.9523000000000001</v>
      </c>
      <c r="H359">
        <f t="shared" si="49"/>
        <v>85133.878406708594</v>
      </c>
      <c r="I359">
        <f t="shared" si="50"/>
        <v>0.40439767018418465</v>
      </c>
      <c r="J359">
        <f t="shared" si="54"/>
        <v>-1.6930294633261667</v>
      </c>
      <c r="K359">
        <f t="shared" si="55"/>
        <v>-1.6930294633261684</v>
      </c>
      <c r="M359">
        <v>320</v>
      </c>
      <c r="N359">
        <v>32</v>
      </c>
      <c r="O359">
        <v>4.1000000000000002E-2</v>
      </c>
      <c r="P359">
        <v>7</v>
      </c>
      <c r="Q359">
        <v>22.5</v>
      </c>
      <c r="R359">
        <f t="shared" si="51"/>
        <v>20000</v>
      </c>
      <c r="S359">
        <f t="shared" si="52"/>
        <v>4.9589999999999996</v>
      </c>
      <c r="T359">
        <f t="shared" si="53"/>
        <v>99179.999999999985</v>
      </c>
      <c r="U359">
        <f t="shared" si="56"/>
        <v>0.51745645993625444</v>
      </c>
      <c r="V359">
        <f t="shared" si="57"/>
        <v>-1.7513336405672819</v>
      </c>
      <c r="Y359">
        <v>0.41136215262916925</v>
      </c>
      <c r="Z359">
        <v>0.5265188489944066</v>
      </c>
      <c r="AA359">
        <v>0.46277756670399772</v>
      </c>
      <c r="AB359">
        <f t="shared" si="58"/>
        <v>0.46688618944252452</v>
      </c>
      <c r="AF359">
        <v>3.2190185814528545E-2</v>
      </c>
      <c r="AG359">
        <v>263.33333333333331</v>
      </c>
      <c r="AH359">
        <v>0.46688618944252452</v>
      </c>
      <c r="AI359">
        <v>0.03</v>
      </c>
      <c r="AJ359">
        <f t="shared" si="59"/>
        <v>0.43688618944252455</v>
      </c>
      <c r="AK359">
        <f t="shared" ref="AK359:AK364" si="65">AJ359/AI359</f>
        <v>14.562872981417486</v>
      </c>
      <c r="AL359">
        <f t="shared" si="61"/>
        <v>1456.2872981417486</v>
      </c>
      <c r="AM359" s="7">
        <f t="shared" si="62"/>
        <v>0.43688618944252455</v>
      </c>
      <c r="AN359" s="7">
        <f t="shared" si="63"/>
        <v>14.562872981417486</v>
      </c>
      <c r="AO359" s="7">
        <f t="shared" si="64"/>
        <v>1456.2872981417486</v>
      </c>
    </row>
    <row r="360" spans="1:41" x14ac:dyDescent="0.2">
      <c r="A360">
        <v>9.5</v>
      </c>
      <c r="B360">
        <v>316</v>
      </c>
      <c r="C360">
        <v>40</v>
      </c>
      <c r="D360">
        <v>4.8000000000000001E-2</v>
      </c>
      <c r="E360">
        <v>7</v>
      </c>
      <c r="F360">
        <f t="shared" si="47"/>
        <v>17083.333333333332</v>
      </c>
      <c r="G360">
        <f t="shared" si="48"/>
        <v>4.952</v>
      </c>
      <c r="H360">
        <f t="shared" si="49"/>
        <v>84596.666666666657</v>
      </c>
      <c r="I360">
        <f t="shared" si="50"/>
        <v>0.40184584028832698</v>
      </c>
      <c r="J360">
        <f t="shared" si="54"/>
        <v>-0.63101993013348368</v>
      </c>
      <c r="K360">
        <f t="shared" si="55"/>
        <v>-0.63101993013348201</v>
      </c>
      <c r="M360">
        <v>336</v>
      </c>
      <c r="N360">
        <v>44</v>
      </c>
      <c r="O360">
        <v>4.0599999999999997E-2</v>
      </c>
      <c r="P360">
        <v>8</v>
      </c>
      <c r="Q360">
        <v>22.5</v>
      </c>
      <c r="R360">
        <f t="shared" si="51"/>
        <v>20197.04433497537</v>
      </c>
      <c r="S360">
        <f t="shared" si="52"/>
        <v>4.9593999999999996</v>
      </c>
      <c r="T360">
        <f t="shared" si="53"/>
        <v>100165.22167487684</v>
      </c>
      <c r="U360">
        <f t="shared" si="56"/>
        <v>0.52259670313180029</v>
      </c>
      <c r="V360">
        <f t="shared" si="57"/>
        <v>0.98359656016611763</v>
      </c>
      <c r="Y360">
        <v>0.40439767018418465</v>
      </c>
      <c r="Z360">
        <v>0.51745645993625444</v>
      </c>
      <c r="AA360">
        <v>0.45873379356276861</v>
      </c>
      <c r="AB360">
        <f t="shared" si="58"/>
        <v>0.46019597456106925</v>
      </c>
      <c r="AF360">
        <v>3.0785230049001355E-2</v>
      </c>
      <c r="AG360">
        <v>277.66666666666669</v>
      </c>
      <c r="AH360">
        <v>0.46019597456106925</v>
      </c>
      <c r="AI360">
        <v>2.9000000000000001E-2</v>
      </c>
      <c r="AJ360">
        <f t="shared" si="59"/>
        <v>0.43119597456106923</v>
      </c>
      <c r="AK360">
        <f t="shared" si="65"/>
        <v>14.868826709002386</v>
      </c>
      <c r="AL360">
        <f t="shared" si="61"/>
        <v>1486.8826709002385</v>
      </c>
      <c r="AM360" s="7">
        <f t="shared" si="62"/>
        <v>0.43119597456106923</v>
      </c>
      <c r="AN360" s="7">
        <f t="shared" si="63"/>
        <v>14.868826709002386</v>
      </c>
      <c r="AO360" s="7">
        <f t="shared" si="64"/>
        <v>1486.8826709002385</v>
      </c>
    </row>
    <row r="361" spans="1:41" x14ac:dyDescent="0.2">
      <c r="A361">
        <v>14.5</v>
      </c>
      <c r="B361">
        <v>332</v>
      </c>
      <c r="C361">
        <v>63</v>
      </c>
      <c r="D361">
        <v>4.7E-2</v>
      </c>
      <c r="E361">
        <v>14</v>
      </c>
      <c r="F361">
        <f t="shared" si="47"/>
        <v>17446.808510638297</v>
      </c>
      <c r="G361">
        <f t="shared" si="48"/>
        <v>4.9530000000000003</v>
      </c>
      <c r="H361">
        <f t="shared" si="49"/>
        <v>86414.042553191495</v>
      </c>
      <c r="I361">
        <f t="shared" si="50"/>
        <v>0.41047862653176032</v>
      </c>
      <c r="J361">
        <f t="shared" si="54"/>
        <v>2.1482830921527705</v>
      </c>
      <c r="K361">
        <f t="shared" si="55"/>
        <v>2.1482830921527651</v>
      </c>
      <c r="M361">
        <v>351</v>
      </c>
      <c r="N361">
        <v>45</v>
      </c>
      <c r="O361">
        <v>3.9199999999999999E-2</v>
      </c>
      <c r="P361">
        <v>8</v>
      </c>
      <c r="Q361">
        <v>22.5</v>
      </c>
      <c r="R361">
        <f t="shared" si="51"/>
        <v>20918.367346938776</v>
      </c>
      <c r="S361">
        <f t="shared" si="52"/>
        <v>4.9607999999999999</v>
      </c>
      <c r="T361">
        <f t="shared" si="53"/>
        <v>103771.83673469388</v>
      </c>
      <c r="U361">
        <f t="shared" si="56"/>
        <v>0.54141366482978082</v>
      </c>
      <c r="V361">
        <f t="shared" si="57"/>
        <v>3.4755239699937213</v>
      </c>
      <c r="Y361">
        <v>0.40184584028832698</v>
      </c>
      <c r="Z361">
        <v>0.52259670313180029</v>
      </c>
      <c r="AA361">
        <v>0.45574661921005433</v>
      </c>
      <c r="AB361">
        <f t="shared" si="58"/>
        <v>0.46006305421006055</v>
      </c>
      <c r="AF361">
        <v>2.9621743307712094E-2</v>
      </c>
      <c r="AG361">
        <v>290.66666666666669</v>
      </c>
      <c r="AH361">
        <v>0.46006305421006055</v>
      </c>
      <c r="AI361">
        <v>2.8000000000000001E-2</v>
      </c>
      <c r="AJ361">
        <f t="shared" si="59"/>
        <v>0.43206305421006053</v>
      </c>
      <c r="AK361">
        <f t="shared" si="65"/>
        <v>15.430823364645018</v>
      </c>
      <c r="AL361">
        <f t="shared" si="61"/>
        <v>1543.0823364645019</v>
      </c>
      <c r="AM361" s="7">
        <f t="shared" si="62"/>
        <v>0.43206305421006053</v>
      </c>
      <c r="AN361" s="7">
        <f t="shared" si="63"/>
        <v>15.430823364645018</v>
      </c>
      <c r="AO361" s="7">
        <f t="shared" si="64"/>
        <v>1543.0823364645019</v>
      </c>
    </row>
    <row r="362" spans="1:41" x14ac:dyDescent="0.2">
      <c r="A362">
        <v>20.5</v>
      </c>
      <c r="B362">
        <v>493</v>
      </c>
      <c r="C362">
        <v>82</v>
      </c>
      <c r="D362">
        <v>5.7099999999999998E-2</v>
      </c>
      <c r="E362">
        <v>15</v>
      </c>
      <c r="F362">
        <f t="shared" si="47"/>
        <v>14360.77057793345</v>
      </c>
      <c r="G362">
        <f t="shared" si="48"/>
        <v>4.9428999999999998</v>
      </c>
      <c r="H362">
        <f t="shared" si="49"/>
        <v>70983.852889667251</v>
      </c>
      <c r="I362">
        <f t="shared" si="50"/>
        <v>0.33718309639486971</v>
      </c>
      <c r="J362">
        <f t="shared" si="54"/>
        <v>-17.856113668130167</v>
      </c>
      <c r="K362">
        <f t="shared" si="55"/>
        <v>-17.85611366813016</v>
      </c>
      <c r="M362">
        <v>491</v>
      </c>
      <c r="N362">
        <v>92</v>
      </c>
      <c r="O362">
        <v>4.1300000000000003E-2</v>
      </c>
      <c r="P362">
        <v>8</v>
      </c>
      <c r="Q362">
        <v>22.5</v>
      </c>
      <c r="R362">
        <f t="shared" si="51"/>
        <v>19854.721549636801</v>
      </c>
      <c r="S362">
        <f t="shared" si="52"/>
        <v>4.9587000000000003</v>
      </c>
      <c r="T362">
        <f t="shared" si="53"/>
        <v>98453.607748184004</v>
      </c>
      <c r="U362">
        <f t="shared" si="56"/>
        <v>0.51366661961411464</v>
      </c>
      <c r="V362">
        <f t="shared" si="57"/>
        <v>-5.4017614063593999</v>
      </c>
      <c r="Y362">
        <v>0.41047862653176032</v>
      </c>
      <c r="Z362">
        <v>0.54141366482978082</v>
      </c>
      <c r="AA362">
        <v>0.45085273782369251</v>
      </c>
      <c r="AB362">
        <f t="shared" si="58"/>
        <v>0.46758167639507792</v>
      </c>
      <c r="AF362">
        <v>2.8523961435402447E-2</v>
      </c>
      <c r="AG362">
        <v>304</v>
      </c>
      <c r="AH362">
        <v>0.46758167639507792</v>
      </c>
      <c r="AI362">
        <v>2.3E-2</v>
      </c>
      <c r="AJ362">
        <f t="shared" si="59"/>
        <v>0.4445816763950779</v>
      </c>
      <c r="AK362">
        <f t="shared" si="65"/>
        <v>19.329638104133821</v>
      </c>
      <c r="AL362">
        <f t="shared" si="61"/>
        <v>1932.9638104133821</v>
      </c>
      <c r="AM362" s="7">
        <f t="shared" si="62"/>
        <v>0.4445816763950779</v>
      </c>
      <c r="AN362" s="7">
        <f t="shared" si="63"/>
        <v>19.329638104133821</v>
      </c>
      <c r="AO362" s="7">
        <f t="shared" si="64"/>
        <v>1932.9638104133821</v>
      </c>
    </row>
    <row r="363" spans="1:41" x14ac:dyDescent="0.2">
      <c r="A363">
        <v>21</v>
      </c>
      <c r="B363">
        <v>675</v>
      </c>
      <c r="C363">
        <v>154</v>
      </c>
      <c r="D363">
        <v>5.8999999999999997E-2</v>
      </c>
      <c r="E363">
        <v>15</v>
      </c>
      <c r="F363">
        <f t="shared" si="47"/>
        <v>13898.305084745763</v>
      </c>
      <c r="G363">
        <f t="shared" si="48"/>
        <v>4.9409999999999998</v>
      </c>
      <c r="H363">
        <f t="shared" si="49"/>
        <v>68671.525423728817</v>
      </c>
      <c r="I363">
        <f t="shared" si="50"/>
        <v>0.32619922185010664</v>
      </c>
      <c r="J363">
        <f t="shared" si="54"/>
        <v>-3.2575400908887926</v>
      </c>
      <c r="K363">
        <f t="shared" si="55"/>
        <v>-3.2575400908887895</v>
      </c>
      <c r="M363">
        <v>565</v>
      </c>
      <c r="N363">
        <v>105</v>
      </c>
      <c r="O363">
        <v>4.2900000000000001E-2</v>
      </c>
      <c r="P363">
        <v>8</v>
      </c>
      <c r="Q363">
        <v>22.5</v>
      </c>
      <c r="R363">
        <f t="shared" si="51"/>
        <v>19114.219114219115</v>
      </c>
      <c r="S363">
        <f t="shared" si="52"/>
        <v>4.9570999999999996</v>
      </c>
      <c r="T363">
        <f t="shared" si="53"/>
        <v>94751.09557109556</v>
      </c>
      <c r="U363">
        <f t="shared" si="56"/>
        <v>0.49434932939403942</v>
      </c>
      <c r="V363">
        <f t="shared" si="57"/>
        <v>-3.9076193839999447</v>
      </c>
      <c r="Y363">
        <v>0.33718309639486971</v>
      </c>
      <c r="Z363">
        <v>0.51366661961411464</v>
      </c>
      <c r="AA363">
        <v>0.40709014465718774</v>
      </c>
      <c r="AB363">
        <f t="shared" si="58"/>
        <v>0.41931328688872399</v>
      </c>
      <c r="AF363">
        <v>1.9462626846717838E-2</v>
      </c>
      <c r="AG363">
        <v>478.66666666666669</v>
      </c>
      <c r="AH363">
        <v>0.41931328688872399</v>
      </c>
      <c r="AI363">
        <v>1.7999999999999999E-2</v>
      </c>
      <c r="AJ363">
        <f>AH363-AI363</f>
        <v>0.40131328688872397</v>
      </c>
      <c r="AK363">
        <f t="shared" si="65"/>
        <v>22.29518260492911</v>
      </c>
      <c r="AL363">
        <f t="shared" si="61"/>
        <v>2229.5182604929109</v>
      </c>
      <c r="AM363" s="7">
        <f t="shared" si="62"/>
        <v>0.40131328688872397</v>
      </c>
      <c r="AN363" s="7">
        <f t="shared" si="63"/>
        <v>22.29518260492911</v>
      </c>
      <c r="AO363" s="7">
        <f t="shared" si="64"/>
        <v>2229.5182604929109</v>
      </c>
    </row>
    <row r="364" spans="1:41" x14ac:dyDescent="0.2">
      <c r="K364">
        <f t="shared" si="55"/>
        <v>-100</v>
      </c>
      <c r="Y364">
        <v>0.32619922185010664</v>
      </c>
      <c r="Z364">
        <v>0.49434932939403942</v>
      </c>
      <c r="AA364">
        <v>0.38966570148481516</v>
      </c>
      <c r="AB364">
        <f t="shared" si="58"/>
        <v>0.40340475090965372</v>
      </c>
      <c r="AF364">
        <v>1.5450345157202432E-2</v>
      </c>
      <c r="AG364">
        <v>629.66666666666663</v>
      </c>
      <c r="AH364">
        <v>0.40340475090965372</v>
      </c>
      <c r="AI364">
        <v>1.2999999999999999E-2</v>
      </c>
      <c r="AJ364">
        <f>AH364-AI364</f>
        <v>0.39040475090965371</v>
      </c>
      <c r="AK364">
        <f t="shared" si="65"/>
        <v>30.03113468535798</v>
      </c>
      <c r="AL364">
        <f t="shared" si="61"/>
        <v>3003.1134685357979</v>
      </c>
      <c r="AM364" s="7">
        <f t="shared" si="62"/>
        <v>0.39040475090965371</v>
      </c>
      <c r="AN364" s="7">
        <f t="shared" si="63"/>
        <v>30.03113468535798</v>
      </c>
      <c r="AO364" s="7">
        <f t="shared" si="64"/>
        <v>3003.1134685357979</v>
      </c>
    </row>
    <row r="371" spans="11:26" x14ac:dyDescent="0.2">
      <c r="Y371">
        <v>1</v>
      </c>
      <c r="Z371">
        <f>3.5139*Y371^-0.842</f>
        <v>3.5139</v>
      </c>
    </row>
    <row r="372" spans="11:26" x14ac:dyDescent="0.2">
      <c r="Y372">
        <v>2</v>
      </c>
      <c r="Z372">
        <f t="shared" ref="Z372:Z386" si="66">3.5139*Y372^-0.842</f>
        <v>1.9602982023588458</v>
      </c>
    </row>
    <row r="373" spans="11:26" x14ac:dyDescent="0.2">
      <c r="Y373">
        <v>3</v>
      </c>
      <c r="Z373">
        <f t="shared" si="66"/>
        <v>1.3933277974006766</v>
      </c>
    </row>
    <row r="374" spans="11:26" x14ac:dyDescent="0.2">
      <c r="Y374">
        <v>4</v>
      </c>
      <c r="Z374">
        <f t="shared" si="66"/>
        <v>1.0935908939273522</v>
      </c>
    </row>
    <row r="375" spans="11:26" x14ac:dyDescent="0.2">
      <c r="K375" t="s">
        <v>89</v>
      </c>
      <c r="L375" t="s">
        <v>28</v>
      </c>
      <c r="M375" t="s">
        <v>11</v>
      </c>
      <c r="N375" t="s">
        <v>113</v>
      </c>
      <c r="O375" t="s">
        <v>114</v>
      </c>
      <c r="P375" t="s">
        <v>14</v>
      </c>
      <c r="Q375" t="s">
        <v>15</v>
      </c>
      <c r="S375" t="s">
        <v>49</v>
      </c>
      <c r="T375" t="s">
        <v>28</v>
      </c>
      <c r="V375" t="s">
        <v>30</v>
      </c>
      <c r="Y375">
        <v>5</v>
      </c>
      <c r="Z375">
        <f t="shared" si="66"/>
        <v>0.90626801851852146</v>
      </c>
    </row>
    <row r="376" spans="11:26" x14ac:dyDescent="0.2">
      <c r="K376">
        <v>0</v>
      </c>
      <c r="L376">
        <v>0</v>
      </c>
      <c r="M376">
        <f>21.3/1000</f>
        <v>2.1299999999999999E-2</v>
      </c>
      <c r="N376">
        <f>820/M376</f>
        <v>38497.652582159622</v>
      </c>
      <c r="O376">
        <f>(5-M376)</f>
        <v>4.9786999999999999</v>
      </c>
      <c r="P376">
        <f>(N376*O376)</f>
        <v>191668.2629107981</v>
      </c>
      <c r="S376">
        <v>0</v>
      </c>
      <c r="T376">
        <v>0</v>
      </c>
      <c r="U376">
        <v>0</v>
      </c>
      <c r="V376">
        <f>AVERAGE(S376:U376)</f>
        <v>0</v>
      </c>
      <c r="W376">
        <f>AVERAGE(S376:T376)</f>
        <v>0</v>
      </c>
      <c r="Y376">
        <v>6</v>
      </c>
      <c r="Z376">
        <f t="shared" si="66"/>
        <v>0.77729530622418308</v>
      </c>
    </row>
    <row r="377" spans="11:26" x14ac:dyDescent="0.2">
      <c r="K377">
        <v>16</v>
      </c>
      <c r="L377">
        <v>17</v>
      </c>
      <c r="M377">
        <f>27.9/1000</f>
        <v>2.7899999999999998E-2</v>
      </c>
      <c r="N377">
        <f t="shared" ref="N377:N398" si="67">820/M377</f>
        <v>29390.681003584232</v>
      </c>
      <c r="O377">
        <f t="shared" ref="O377:O398" si="68">(5-M377)</f>
        <v>4.9721000000000002</v>
      </c>
      <c r="P377">
        <f t="shared" ref="P377:P398" si="69">(N377*O377)</f>
        <v>146133.40501792118</v>
      </c>
      <c r="Q377">
        <f>(P377/191668)</f>
        <v>0.76242985275539565</v>
      </c>
      <c r="R377">
        <f>(P378-P377)/P377*100</f>
        <v>-10.347126030775881</v>
      </c>
      <c r="S377">
        <v>20</v>
      </c>
      <c r="T377">
        <v>20</v>
      </c>
      <c r="U377">
        <v>17</v>
      </c>
      <c r="V377">
        <f t="shared" ref="V377:V398" si="70">AVERAGE(S377:U377)</f>
        <v>19</v>
      </c>
      <c r="W377">
        <f t="shared" ref="W377:W398" si="71">AVERAGE(S377:T377)</f>
        <v>20</v>
      </c>
      <c r="Y377">
        <v>7</v>
      </c>
      <c r="Z377">
        <f t="shared" si="66"/>
        <v>0.6826794789029148</v>
      </c>
    </row>
    <row r="378" spans="11:26" x14ac:dyDescent="0.2">
      <c r="K378">
        <v>8</v>
      </c>
      <c r="L378">
        <v>35</v>
      </c>
      <c r="M378">
        <f>31.1/1000</f>
        <v>3.1100000000000003E-2</v>
      </c>
      <c r="N378">
        <f t="shared" si="67"/>
        <v>26366.559485530543</v>
      </c>
      <c r="O378">
        <f t="shared" si="68"/>
        <v>4.9688999999999997</v>
      </c>
      <c r="P378">
        <f t="shared" si="69"/>
        <v>131012.79742765271</v>
      </c>
      <c r="Q378">
        <f t="shared" ref="Q378:Q398" si="72">(P378/191668)</f>
        <v>0.68354027499453596</v>
      </c>
      <c r="R378">
        <f t="shared" ref="R378:R398" si="73">(P379-P378)/P378*100</f>
        <v>-4.0374586719518524</v>
      </c>
      <c r="S378">
        <v>37</v>
      </c>
      <c r="T378">
        <v>38</v>
      </c>
      <c r="U378">
        <v>35</v>
      </c>
      <c r="V378">
        <f t="shared" si="70"/>
        <v>36.666666666666664</v>
      </c>
      <c r="W378">
        <f t="shared" si="71"/>
        <v>37.5</v>
      </c>
      <c r="Y378">
        <v>8</v>
      </c>
      <c r="Z378">
        <f t="shared" si="66"/>
        <v>0.61008118144562784</v>
      </c>
    </row>
    <row r="379" spans="11:26" x14ac:dyDescent="0.2">
      <c r="K379">
        <v>20</v>
      </c>
      <c r="L379">
        <v>49</v>
      </c>
      <c r="M379">
        <f>32.4/1000</f>
        <v>3.2399999999999998E-2</v>
      </c>
      <c r="N379">
        <f t="shared" si="67"/>
        <v>25308.641975308645</v>
      </c>
      <c r="O379">
        <f t="shared" si="68"/>
        <v>4.9676</v>
      </c>
      <c r="P379">
        <f t="shared" si="69"/>
        <v>125723.20987654323</v>
      </c>
      <c r="Q379">
        <f t="shared" si="72"/>
        <v>0.65594261888548544</v>
      </c>
      <c r="R379">
        <f t="shared" si="73"/>
        <v>-3.5947223724017605</v>
      </c>
      <c r="S379">
        <v>52</v>
      </c>
      <c r="T379">
        <v>61</v>
      </c>
      <c r="U379">
        <v>49</v>
      </c>
      <c r="V379">
        <f t="shared" si="70"/>
        <v>54</v>
      </c>
      <c r="W379">
        <f t="shared" si="71"/>
        <v>56.5</v>
      </c>
      <c r="Y379">
        <v>9</v>
      </c>
      <c r="Z379">
        <f t="shared" si="66"/>
        <v>0.55248081932024851</v>
      </c>
    </row>
    <row r="380" spans="11:26" x14ac:dyDescent="0.2">
      <c r="K380">
        <v>15</v>
      </c>
      <c r="L380">
        <v>59</v>
      </c>
      <c r="M380">
        <f>33.6/1000</f>
        <v>3.3600000000000005E-2</v>
      </c>
      <c r="N380">
        <f t="shared" si="67"/>
        <v>24404.761904761901</v>
      </c>
      <c r="O380">
        <f t="shared" si="68"/>
        <v>4.9664000000000001</v>
      </c>
      <c r="P380">
        <f t="shared" si="69"/>
        <v>121203.80952380951</v>
      </c>
      <c r="Q380">
        <f t="shared" si="72"/>
        <v>0.63236330281429087</v>
      </c>
      <c r="R380">
        <f t="shared" si="73"/>
        <v>-4.0270618556701043</v>
      </c>
      <c r="S380">
        <v>74</v>
      </c>
      <c r="T380">
        <v>81</v>
      </c>
      <c r="U380">
        <v>59</v>
      </c>
      <c r="V380">
        <f t="shared" si="70"/>
        <v>71.333333333333329</v>
      </c>
      <c r="W380">
        <f t="shared" si="71"/>
        <v>77.5</v>
      </c>
      <c r="Y380">
        <v>10</v>
      </c>
      <c r="Z380">
        <f t="shared" si="66"/>
        <v>0.50557943241332148</v>
      </c>
    </row>
    <row r="381" spans="11:26" x14ac:dyDescent="0.2">
      <c r="K381">
        <v>10</v>
      </c>
      <c r="L381">
        <v>72</v>
      </c>
      <c r="M381">
        <f>35/1000</f>
        <v>3.5000000000000003E-2</v>
      </c>
      <c r="N381">
        <f t="shared" si="67"/>
        <v>23428.571428571428</v>
      </c>
      <c r="O381">
        <f t="shared" si="68"/>
        <v>4.9649999999999999</v>
      </c>
      <c r="P381">
        <f t="shared" si="69"/>
        <v>116322.85714285713</v>
      </c>
      <c r="Q381">
        <f t="shared" si="72"/>
        <v>0.60689764145740099</v>
      </c>
      <c r="R381">
        <f t="shared" si="73"/>
        <v>-4.1385589537722955</v>
      </c>
      <c r="S381">
        <v>90</v>
      </c>
      <c r="T381">
        <v>98</v>
      </c>
      <c r="U381">
        <v>72</v>
      </c>
      <c r="V381">
        <f t="shared" si="70"/>
        <v>86.666666666666671</v>
      </c>
      <c r="W381">
        <f t="shared" si="71"/>
        <v>94</v>
      </c>
      <c r="Y381">
        <v>11</v>
      </c>
      <c r="Z381">
        <f t="shared" si="66"/>
        <v>0.46659142931812947</v>
      </c>
    </row>
    <row r="382" spans="11:26" x14ac:dyDescent="0.2">
      <c r="K382">
        <v>8</v>
      </c>
      <c r="L382">
        <v>84</v>
      </c>
      <c r="M382">
        <f>36.5/1000</f>
        <v>3.6499999999999998E-2</v>
      </c>
      <c r="N382">
        <f t="shared" si="67"/>
        <v>22465.753424657534</v>
      </c>
      <c r="O382">
        <f t="shared" si="68"/>
        <v>4.9634999999999998</v>
      </c>
      <c r="P382">
        <f t="shared" si="69"/>
        <v>111508.76712328766</v>
      </c>
      <c r="Q382">
        <f t="shared" si="72"/>
        <v>0.58178082477663284</v>
      </c>
      <c r="R382">
        <f t="shared" si="73"/>
        <v>-3.464443879473595</v>
      </c>
      <c r="S382">
        <v>106</v>
      </c>
      <c r="T382">
        <v>112</v>
      </c>
      <c r="U382">
        <v>84</v>
      </c>
      <c r="V382">
        <f t="shared" si="70"/>
        <v>100.66666666666667</v>
      </c>
      <c r="W382">
        <f t="shared" si="71"/>
        <v>109</v>
      </c>
      <c r="Y382">
        <v>12</v>
      </c>
      <c r="Z382">
        <f t="shared" si="66"/>
        <v>0.43362946910647271</v>
      </c>
    </row>
    <row r="383" spans="11:26" x14ac:dyDescent="0.2">
      <c r="K383">
        <v>8</v>
      </c>
      <c r="L383">
        <v>95</v>
      </c>
      <c r="M383">
        <f>37.8/1000</f>
        <v>3.78E-2</v>
      </c>
      <c r="N383">
        <f t="shared" si="67"/>
        <v>21693.121693121691</v>
      </c>
      <c r="O383">
        <f t="shared" si="68"/>
        <v>4.9622000000000002</v>
      </c>
      <c r="P383">
        <f t="shared" si="69"/>
        <v>107645.60846560846</v>
      </c>
      <c r="Q383">
        <f t="shared" si="72"/>
        <v>0.56162535460070773</v>
      </c>
      <c r="R383">
        <f t="shared" si="73"/>
        <v>-2.5969525488985274</v>
      </c>
      <c r="S383">
        <v>124</v>
      </c>
      <c r="T383">
        <v>129</v>
      </c>
      <c r="U383">
        <v>95</v>
      </c>
      <c r="V383">
        <f t="shared" si="70"/>
        <v>116</v>
      </c>
      <c r="W383">
        <f t="shared" si="71"/>
        <v>126.5</v>
      </c>
      <c r="Y383">
        <v>13</v>
      </c>
      <c r="Z383">
        <f t="shared" si="66"/>
        <v>0.40536765756337806</v>
      </c>
    </row>
    <row r="384" spans="11:26" x14ac:dyDescent="0.2">
      <c r="K384">
        <v>15</v>
      </c>
      <c r="L384">
        <v>108</v>
      </c>
      <c r="M384">
        <f>38.8/1000</f>
        <v>3.8799999999999994E-2</v>
      </c>
      <c r="N384">
        <f t="shared" si="67"/>
        <v>21134.020618556704</v>
      </c>
      <c r="O384">
        <f t="shared" si="68"/>
        <v>4.9611999999999998</v>
      </c>
      <c r="P384">
        <f t="shared" si="69"/>
        <v>104850.10309278351</v>
      </c>
      <c r="Q384">
        <f t="shared" si="72"/>
        <v>0.54704021063914432</v>
      </c>
      <c r="R384">
        <f t="shared" si="73"/>
        <v>-3.9913690635370194</v>
      </c>
      <c r="S384">
        <v>148</v>
      </c>
      <c r="T384">
        <v>146</v>
      </c>
      <c r="U384">
        <v>108</v>
      </c>
      <c r="V384">
        <f t="shared" si="70"/>
        <v>134</v>
      </c>
      <c r="W384">
        <f t="shared" si="71"/>
        <v>147</v>
      </c>
      <c r="Y384">
        <v>14</v>
      </c>
      <c r="Z384">
        <f t="shared" si="66"/>
        <v>0.38084616957814893</v>
      </c>
    </row>
    <row r="385" spans="11:26" x14ac:dyDescent="0.2">
      <c r="K385">
        <v>8</v>
      </c>
      <c r="L385">
        <v>122</v>
      </c>
      <c r="M385">
        <f>40.4/1000</f>
        <v>4.0399999999999998E-2</v>
      </c>
      <c r="N385">
        <f t="shared" si="67"/>
        <v>20297.029702970296</v>
      </c>
      <c r="O385">
        <f t="shared" si="68"/>
        <v>4.9596</v>
      </c>
      <c r="P385">
        <f t="shared" si="69"/>
        <v>100665.14851485148</v>
      </c>
      <c r="Q385">
        <f t="shared" si="72"/>
        <v>0.52520581690658574</v>
      </c>
      <c r="R385">
        <f t="shared" si="73"/>
        <v>-2.1969279331477543</v>
      </c>
      <c r="S385">
        <v>170</v>
      </c>
      <c r="T385">
        <v>165</v>
      </c>
      <c r="U385">
        <v>122</v>
      </c>
      <c r="V385">
        <f t="shared" si="70"/>
        <v>152.33333333333334</v>
      </c>
      <c r="W385">
        <f t="shared" si="71"/>
        <v>167.5</v>
      </c>
      <c r="Y385">
        <v>15</v>
      </c>
      <c r="Z385">
        <f t="shared" si="66"/>
        <v>0.35935240675519708</v>
      </c>
    </row>
    <row r="386" spans="11:26" x14ac:dyDescent="0.2">
      <c r="K386">
        <v>10</v>
      </c>
      <c r="L386">
        <v>136</v>
      </c>
      <c r="M386">
        <f>41.3/1000</f>
        <v>4.1299999999999996E-2</v>
      </c>
      <c r="N386">
        <f t="shared" si="67"/>
        <v>19854.721549636804</v>
      </c>
      <c r="O386">
        <f t="shared" si="68"/>
        <v>4.9587000000000003</v>
      </c>
      <c r="P386">
        <f t="shared" si="69"/>
        <v>98453.607748184033</v>
      </c>
      <c r="Q386">
        <f t="shared" si="72"/>
        <v>0.51366742360844808</v>
      </c>
      <c r="R386">
        <f t="shared" si="73"/>
        <v>-4.6574078330427442</v>
      </c>
      <c r="S386">
        <v>183</v>
      </c>
      <c r="T386">
        <v>182</v>
      </c>
      <c r="U386">
        <v>136</v>
      </c>
      <c r="V386">
        <f t="shared" si="70"/>
        <v>167</v>
      </c>
      <c r="W386">
        <f t="shared" si="71"/>
        <v>182.5</v>
      </c>
      <c r="Y386">
        <v>16</v>
      </c>
      <c r="Z386">
        <f t="shared" si="66"/>
        <v>0.34034578197467913</v>
      </c>
    </row>
    <row r="387" spans="11:26" x14ac:dyDescent="0.2">
      <c r="K387">
        <v>15</v>
      </c>
      <c r="L387">
        <v>147</v>
      </c>
      <c r="M387">
        <f>43.3/1000</f>
        <v>4.3299999999999998E-2</v>
      </c>
      <c r="N387">
        <f t="shared" si="67"/>
        <v>18937.644341801388</v>
      </c>
      <c r="O387">
        <f t="shared" si="68"/>
        <v>4.9566999999999997</v>
      </c>
      <c r="P387">
        <f t="shared" si="69"/>
        <v>93868.221709006932</v>
      </c>
      <c r="Q387">
        <f t="shared" si="72"/>
        <v>0.48974383678551942</v>
      </c>
      <c r="R387">
        <f t="shared" si="73"/>
        <v>1.1784294985226365</v>
      </c>
      <c r="S387">
        <v>195</v>
      </c>
      <c r="T387">
        <v>199</v>
      </c>
      <c r="U387">
        <v>147</v>
      </c>
      <c r="V387">
        <f t="shared" si="70"/>
        <v>180.33333333333334</v>
      </c>
      <c r="W387">
        <f t="shared" si="71"/>
        <v>197</v>
      </c>
      <c r="Y387">
        <v>17</v>
      </c>
      <c r="Z387">
        <f>3.5139*Y387^-0.842</f>
        <v>0.32340848221590535</v>
      </c>
    </row>
    <row r="388" spans="11:26" x14ac:dyDescent="0.2">
      <c r="K388">
        <v>30</v>
      </c>
      <c r="L388">
        <v>159</v>
      </c>
      <c r="M388">
        <f>42.8/1000</f>
        <v>4.2799999999999998E-2</v>
      </c>
      <c r="N388">
        <f t="shared" si="67"/>
        <v>19158.878504672899</v>
      </c>
      <c r="O388">
        <f t="shared" si="68"/>
        <v>4.9572000000000003</v>
      </c>
      <c r="P388">
        <f t="shared" si="69"/>
        <v>94974.392523364499</v>
      </c>
      <c r="Q388">
        <f t="shared" si="72"/>
        <v>0.49551512262539649</v>
      </c>
      <c r="R388">
        <f t="shared" si="73"/>
        <v>-1.1647042797198621</v>
      </c>
      <c r="S388">
        <v>208</v>
      </c>
      <c r="T388">
        <v>223</v>
      </c>
      <c r="U388">
        <v>159</v>
      </c>
      <c r="V388">
        <f t="shared" si="70"/>
        <v>196.66666666666666</v>
      </c>
      <c r="W388">
        <f t="shared" si="71"/>
        <v>215.5</v>
      </c>
      <c r="Y388">
        <v>20</v>
      </c>
      <c r="Z388">
        <f t="shared" ref="Z388:Z451" si="74">3.5139*Y388^-0.842</f>
        <v>0.28204742665113969</v>
      </c>
    </row>
    <row r="389" spans="11:26" x14ac:dyDescent="0.2">
      <c r="K389">
        <v>26</v>
      </c>
      <c r="L389">
        <v>168</v>
      </c>
      <c r="M389">
        <f>43.3/1000</f>
        <v>4.3299999999999998E-2</v>
      </c>
      <c r="N389">
        <f t="shared" si="67"/>
        <v>18937.644341801388</v>
      </c>
      <c r="O389">
        <f t="shared" si="68"/>
        <v>4.9566999999999997</v>
      </c>
      <c r="P389">
        <f t="shared" si="69"/>
        <v>93868.221709006932</v>
      </c>
      <c r="Q389">
        <f t="shared" si="72"/>
        <v>0.48974383678551942</v>
      </c>
      <c r="R389">
        <f t="shared" si="73"/>
        <v>-1.8299059423770989</v>
      </c>
      <c r="S389">
        <v>222</v>
      </c>
      <c r="T389">
        <v>239</v>
      </c>
      <c r="U389">
        <v>168</v>
      </c>
      <c r="V389">
        <f t="shared" si="70"/>
        <v>209.66666666666666</v>
      </c>
      <c r="W389">
        <f t="shared" si="71"/>
        <v>230.5</v>
      </c>
      <c r="Y389">
        <v>20</v>
      </c>
      <c r="Z389">
        <f t="shared" si="74"/>
        <v>0.28204742665113969</v>
      </c>
    </row>
    <row r="390" spans="11:26" x14ac:dyDescent="0.2">
      <c r="K390">
        <v>36</v>
      </c>
      <c r="L390">
        <v>178</v>
      </c>
      <c r="M390">
        <f>44.1/1000</f>
        <v>4.41E-2</v>
      </c>
      <c r="N390">
        <f t="shared" si="67"/>
        <v>18594.104308390022</v>
      </c>
      <c r="O390">
        <f t="shared" si="68"/>
        <v>4.9558999999999997</v>
      </c>
      <c r="P390">
        <f t="shared" si="69"/>
        <v>92150.521541950104</v>
      </c>
      <c r="Q390">
        <f t="shared" si="72"/>
        <v>0.48078198521375559</v>
      </c>
      <c r="R390">
        <f t="shared" si="73"/>
        <v>-1.7975919548052708</v>
      </c>
      <c r="S390">
        <v>238</v>
      </c>
      <c r="T390">
        <v>253</v>
      </c>
      <c r="U390">
        <v>178</v>
      </c>
      <c r="V390">
        <f t="shared" si="70"/>
        <v>223</v>
      </c>
      <c r="W390">
        <f t="shared" si="71"/>
        <v>245.5</v>
      </c>
      <c r="Y390">
        <v>35</v>
      </c>
      <c r="Z390">
        <f t="shared" si="74"/>
        <v>0.17606948935046565</v>
      </c>
    </row>
    <row r="391" spans="11:26" x14ac:dyDescent="0.2">
      <c r="K391">
        <v>23</v>
      </c>
      <c r="L391">
        <v>188</v>
      </c>
      <c r="M391">
        <f>44.9/1000</f>
        <v>4.4899999999999995E-2</v>
      </c>
      <c r="N391">
        <f t="shared" si="67"/>
        <v>18262.806236080181</v>
      </c>
      <c r="O391">
        <f t="shared" si="68"/>
        <v>4.9550999999999998</v>
      </c>
      <c r="P391">
        <f t="shared" si="69"/>
        <v>90494.031180400911</v>
      </c>
      <c r="Q391">
        <f t="shared" si="72"/>
        <v>0.47213948692740004</v>
      </c>
      <c r="R391">
        <f t="shared" si="73"/>
        <v>-0.44747732643575772</v>
      </c>
      <c r="S391">
        <v>252</v>
      </c>
      <c r="T391">
        <v>273</v>
      </c>
      <c r="U391">
        <v>188</v>
      </c>
      <c r="V391">
        <f t="shared" si="70"/>
        <v>237.66666666666666</v>
      </c>
      <c r="W391">
        <f t="shared" si="71"/>
        <v>262.5</v>
      </c>
      <c r="Y391">
        <v>37</v>
      </c>
      <c r="Z391">
        <f t="shared" si="74"/>
        <v>0.1680209927257145</v>
      </c>
    </row>
    <row r="392" spans="11:26" x14ac:dyDescent="0.2">
      <c r="K392">
        <v>16</v>
      </c>
      <c r="L392">
        <v>197</v>
      </c>
      <c r="M392">
        <f>45.1/1000</f>
        <v>4.5100000000000001E-2</v>
      </c>
      <c r="N392">
        <f t="shared" si="67"/>
        <v>18181.81818181818</v>
      </c>
      <c r="O392">
        <f t="shared" si="68"/>
        <v>4.9549000000000003</v>
      </c>
      <c r="P392">
        <f t="shared" si="69"/>
        <v>90089.090909090912</v>
      </c>
      <c r="Q392">
        <f t="shared" si="72"/>
        <v>0.47002676977424979</v>
      </c>
      <c r="R392">
        <f t="shared" si="73"/>
        <v>-1.5422957874790479</v>
      </c>
      <c r="S392">
        <v>265</v>
      </c>
      <c r="T392">
        <v>288</v>
      </c>
      <c r="U392">
        <v>197</v>
      </c>
      <c r="V392">
        <f t="shared" si="70"/>
        <v>250</v>
      </c>
      <c r="W392">
        <f t="shared" si="71"/>
        <v>276.5</v>
      </c>
      <c r="Y392">
        <v>38</v>
      </c>
      <c r="Z392">
        <f t="shared" si="74"/>
        <v>0.16429018159576436</v>
      </c>
    </row>
    <row r="393" spans="11:26" x14ac:dyDescent="0.2">
      <c r="K393">
        <v>17</v>
      </c>
      <c r="L393">
        <v>204</v>
      </c>
      <c r="M393">
        <f>45.8/1000</f>
        <v>4.58E-2</v>
      </c>
      <c r="N393">
        <f t="shared" si="67"/>
        <v>17903.930131004367</v>
      </c>
      <c r="O393">
        <f t="shared" si="68"/>
        <v>4.9542000000000002</v>
      </c>
      <c r="P393">
        <f t="shared" si="69"/>
        <v>88699.650655021833</v>
      </c>
      <c r="Q393">
        <f t="shared" si="72"/>
        <v>0.46277756670399772</v>
      </c>
      <c r="R393">
        <f t="shared" si="73"/>
        <v>-0.87380491885761113</v>
      </c>
      <c r="S393">
        <v>282</v>
      </c>
      <c r="T393">
        <v>304</v>
      </c>
      <c r="U393">
        <v>204</v>
      </c>
      <c r="V393">
        <f t="shared" si="70"/>
        <v>263.33333333333331</v>
      </c>
      <c r="W393">
        <f t="shared" si="71"/>
        <v>293</v>
      </c>
      <c r="Y393">
        <v>49</v>
      </c>
      <c r="Z393">
        <f t="shared" si="74"/>
        <v>0.13263077233704865</v>
      </c>
    </row>
    <row r="394" spans="11:26" x14ac:dyDescent="0.2">
      <c r="K394">
        <v>15</v>
      </c>
      <c r="L394">
        <v>213</v>
      </c>
      <c r="M394">
        <f>46.2/1000</f>
        <v>4.6200000000000005E-2</v>
      </c>
      <c r="N394">
        <f t="shared" si="67"/>
        <v>17748.917748917745</v>
      </c>
      <c r="O394">
        <f t="shared" si="68"/>
        <v>4.9538000000000002</v>
      </c>
      <c r="P394">
        <f t="shared" si="69"/>
        <v>87924.588744588735</v>
      </c>
      <c r="Q394">
        <f t="shared" si="72"/>
        <v>0.45873379356276861</v>
      </c>
      <c r="R394">
        <f t="shared" si="73"/>
        <v>-0.65117817667504296</v>
      </c>
      <c r="S394">
        <v>300</v>
      </c>
      <c r="T394">
        <v>320</v>
      </c>
      <c r="U394">
        <v>213</v>
      </c>
      <c r="V394">
        <f t="shared" si="70"/>
        <v>277.66666666666669</v>
      </c>
      <c r="W394">
        <f t="shared" si="71"/>
        <v>310</v>
      </c>
      <c r="Y394">
        <v>52</v>
      </c>
      <c r="Z394">
        <f t="shared" si="74"/>
        <v>0.12615793818946788</v>
      </c>
    </row>
    <row r="395" spans="11:26" x14ac:dyDescent="0.2">
      <c r="K395">
        <v>13</v>
      </c>
      <c r="L395">
        <v>220</v>
      </c>
      <c r="M395">
        <f>46.5/1000</f>
        <v>4.65E-2</v>
      </c>
      <c r="N395">
        <f t="shared" si="67"/>
        <v>17634.408602150539</v>
      </c>
      <c r="O395">
        <f t="shared" si="68"/>
        <v>4.9535</v>
      </c>
      <c r="P395">
        <f t="shared" si="69"/>
        <v>87352.043010752692</v>
      </c>
      <c r="Q395">
        <f t="shared" si="72"/>
        <v>0.45574661921005433</v>
      </c>
      <c r="R395">
        <f t="shared" si="73"/>
        <v>-1.0738162786252547</v>
      </c>
      <c r="S395">
        <v>316</v>
      </c>
      <c r="T395">
        <v>336</v>
      </c>
      <c r="U395">
        <v>220</v>
      </c>
      <c r="V395">
        <f t="shared" si="70"/>
        <v>290.66666666666669</v>
      </c>
      <c r="W395">
        <f t="shared" si="71"/>
        <v>326</v>
      </c>
      <c r="Y395">
        <v>59</v>
      </c>
      <c r="Z395">
        <f t="shared" si="74"/>
        <v>0.11343106357053409</v>
      </c>
    </row>
    <row r="396" spans="11:26" x14ac:dyDescent="0.2">
      <c r="K396">
        <v>13</v>
      </c>
      <c r="L396">
        <v>229</v>
      </c>
      <c r="M396">
        <f>47/1000</f>
        <v>4.7E-2</v>
      </c>
      <c r="N396">
        <f t="shared" si="67"/>
        <v>17446.808510638297</v>
      </c>
      <c r="O396">
        <f t="shared" si="68"/>
        <v>4.9530000000000003</v>
      </c>
      <c r="P396">
        <f t="shared" si="69"/>
        <v>86414.042553191495</v>
      </c>
      <c r="Q396">
        <f t="shared" si="72"/>
        <v>0.45085273782369251</v>
      </c>
      <c r="R396">
        <f t="shared" si="73"/>
        <v>-9.7066269083228427</v>
      </c>
      <c r="S396">
        <v>332</v>
      </c>
      <c r="T396">
        <v>351</v>
      </c>
      <c r="U396">
        <v>229</v>
      </c>
      <c r="V396">
        <f t="shared" si="70"/>
        <v>304</v>
      </c>
      <c r="W396">
        <f t="shared" si="71"/>
        <v>341.5</v>
      </c>
      <c r="Y396">
        <v>61</v>
      </c>
      <c r="Z396">
        <f t="shared" si="74"/>
        <v>0.11029140695555881</v>
      </c>
    </row>
    <row r="397" spans="11:26" x14ac:dyDescent="0.2">
      <c r="K397">
        <v>25</v>
      </c>
      <c r="L397">
        <v>452</v>
      </c>
      <c r="M397">
        <f>52/1000</f>
        <v>5.1999999999999998E-2</v>
      </c>
      <c r="N397">
        <f t="shared" si="67"/>
        <v>15769.23076923077</v>
      </c>
      <c r="O397">
        <f t="shared" si="68"/>
        <v>4.9480000000000004</v>
      </c>
      <c r="P397">
        <f t="shared" si="69"/>
        <v>78026.153846153858</v>
      </c>
      <c r="Q397">
        <f t="shared" si="72"/>
        <v>0.40709014465718774</v>
      </c>
      <c r="R397">
        <f t="shared" si="73"/>
        <v>-4.2802419564948657</v>
      </c>
      <c r="S397">
        <v>493</v>
      </c>
      <c r="T397">
        <v>491</v>
      </c>
      <c r="U397">
        <v>452</v>
      </c>
      <c r="V397">
        <f t="shared" si="70"/>
        <v>478.66666666666669</v>
      </c>
      <c r="W397">
        <f t="shared" si="71"/>
        <v>492</v>
      </c>
      <c r="Y397">
        <v>72</v>
      </c>
      <c r="Z397">
        <f t="shared" si="74"/>
        <v>9.5921383925821918E-2</v>
      </c>
    </row>
    <row r="398" spans="11:26" x14ac:dyDescent="0.2">
      <c r="K398">
        <v>29</v>
      </c>
      <c r="L398">
        <v>649</v>
      </c>
      <c r="M398">
        <f>54.3/1000</f>
        <v>5.4299999999999994E-2</v>
      </c>
      <c r="N398">
        <f t="shared" si="67"/>
        <v>15101.289134438308</v>
      </c>
      <c r="O398">
        <f t="shared" si="68"/>
        <v>4.9457000000000004</v>
      </c>
      <c r="P398">
        <f t="shared" si="69"/>
        <v>74686.445672191549</v>
      </c>
      <c r="Q398">
        <f t="shared" si="72"/>
        <v>0.38966570148481516</v>
      </c>
      <c r="R398">
        <f t="shared" si="73"/>
        <v>-100</v>
      </c>
      <c r="S398">
        <v>675</v>
      </c>
      <c r="T398">
        <v>565</v>
      </c>
      <c r="U398">
        <v>649</v>
      </c>
      <c r="V398">
        <f t="shared" si="70"/>
        <v>629.66666666666663</v>
      </c>
      <c r="W398">
        <f t="shared" si="71"/>
        <v>620</v>
      </c>
      <c r="Y398">
        <v>74</v>
      </c>
      <c r="Z398">
        <f t="shared" si="74"/>
        <v>9.3733814280078112E-2</v>
      </c>
    </row>
    <row r="399" spans="11:26" x14ac:dyDescent="0.2">
      <c r="Y399">
        <v>81</v>
      </c>
      <c r="Z399">
        <f t="shared" si="74"/>
        <v>8.686503762678878E-2</v>
      </c>
    </row>
    <row r="400" spans="11:26" x14ac:dyDescent="0.2">
      <c r="Y400">
        <v>84</v>
      </c>
      <c r="Z400">
        <f t="shared" si="74"/>
        <v>8.4245408237728567E-2</v>
      </c>
    </row>
    <row r="401" spans="1:26" x14ac:dyDescent="0.2">
      <c r="Y401">
        <v>90</v>
      </c>
      <c r="Z401">
        <f t="shared" si="74"/>
        <v>7.949086173515986E-2</v>
      </c>
    </row>
    <row r="402" spans="1:26" x14ac:dyDescent="0.2">
      <c r="Y402">
        <v>95</v>
      </c>
      <c r="Z402">
        <f t="shared" si="74"/>
        <v>7.5953208117866738E-2</v>
      </c>
    </row>
    <row r="403" spans="1:26" x14ac:dyDescent="0.2">
      <c r="Y403">
        <v>98</v>
      </c>
      <c r="Z403">
        <f t="shared" si="74"/>
        <v>7.3990684023387585E-2</v>
      </c>
    </row>
    <row r="404" spans="1:26" x14ac:dyDescent="0.2">
      <c r="Y404">
        <v>106</v>
      </c>
      <c r="Z404">
        <f t="shared" si="74"/>
        <v>6.9259899886633336E-2</v>
      </c>
    </row>
    <row r="405" spans="1:26" x14ac:dyDescent="0.2">
      <c r="Y405">
        <v>108</v>
      </c>
      <c r="Z405">
        <f t="shared" si="74"/>
        <v>6.8178367162795891E-2</v>
      </c>
    </row>
    <row r="406" spans="1:26" x14ac:dyDescent="0.2">
      <c r="Y406">
        <v>112</v>
      </c>
      <c r="Z406">
        <f t="shared" si="74"/>
        <v>6.6122280396505029E-2</v>
      </c>
    </row>
    <row r="407" spans="1:26" x14ac:dyDescent="0.2">
      <c r="Y407">
        <v>122</v>
      </c>
      <c r="Z407">
        <f t="shared" si="74"/>
        <v>6.1528229827430989E-2</v>
      </c>
    </row>
    <row r="408" spans="1:26" x14ac:dyDescent="0.2">
      <c r="Y408">
        <v>124</v>
      </c>
      <c r="Z408">
        <f t="shared" si="74"/>
        <v>6.0691565376524703E-2</v>
      </c>
    </row>
    <row r="409" spans="1:26" x14ac:dyDescent="0.2">
      <c r="A409" t="s">
        <v>115</v>
      </c>
      <c r="B409">
        <v>1</v>
      </c>
      <c r="H409" t="s">
        <v>118</v>
      </c>
      <c r="Y409">
        <v>129</v>
      </c>
      <c r="Z409">
        <f t="shared" si="74"/>
        <v>5.8704698503003305E-2</v>
      </c>
    </row>
    <row r="410" spans="1:26" x14ac:dyDescent="0.2">
      <c r="A410" t="s">
        <v>116</v>
      </c>
      <c r="B410" t="s">
        <v>11</v>
      </c>
      <c r="C410" t="s">
        <v>113</v>
      </c>
      <c r="D410" t="s">
        <v>114</v>
      </c>
      <c r="E410" t="s">
        <v>14</v>
      </c>
      <c r="F410" t="s">
        <v>117</v>
      </c>
      <c r="H410" t="s">
        <v>17</v>
      </c>
      <c r="I410" t="s">
        <v>11</v>
      </c>
      <c r="J410" t="s">
        <v>113</v>
      </c>
      <c r="K410" t="s">
        <v>119</v>
      </c>
      <c r="L410" t="s">
        <v>14</v>
      </c>
      <c r="M410" t="s">
        <v>15</v>
      </c>
      <c r="Y410">
        <v>136</v>
      </c>
      <c r="Z410">
        <f t="shared" si="74"/>
        <v>5.6149984040472632E-2</v>
      </c>
    </row>
    <row r="411" spans="1:26" x14ac:dyDescent="0.2">
      <c r="A411">
        <v>0</v>
      </c>
      <c r="B411">
        <v>2.2700000000000001E-2</v>
      </c>
      <c r="C411">
        <f>820/B411</f>
        <v>36123.348017621145</v>
      </c>
      <c r="D411">
        <f>5-B411</f>
        <v>4.9772999999999996</v>
      </c>
      <c r="E411">
        <f>C411*D411</f>
        <v>179796.74008810573</v>
      </c>
      <c r="H411">
        <v>0</v>
      </c>
      <c r="I411">
        <v>2.0500000000000001E-2</v>
      </c>
      <c r="J411">
        <f>820/I411</f>
        <v>40000</v>
      </c>
      <c r="K411">
        <f>5-I411</f>
        <v>4.9794999999999998</v>
      </c>
      <c r="L411">
        <f>J411*K411</f>
        <v>199180</v>
      </c>
      <c r="Y411">
        <v>146</v>
      </c>
      <c r="Z411">
        <f t="shared" si="74"/>
        <v>5.2893742109799746E-2</v>
      </c>
    </row>
    <row r="412" spans="1:26" x14ac:dyDescent="0.2">
      <c r="A412">
        <v>13</v>
      </c>
      <c r="B412">
        <v>2.5499999999999998E-2</v>
      </c>
      <c r="C412">
        <f t="shared" ref="C412:C438" si="75">820/B412</f>
        <v>32156.862745098042</v>
      </c>
      <c r="D412">
        <f t="shared" ref="D412:D438" si="76">5-B412</f>
        <v>4.9744999999999999</v>
      </c>
      <c r="E412">
        <f t="shared" ref="E412:E438" si="77">C412*D412</f>
        <v>159964.31372549021</v>
      </c>
      <c r="F412">
        <f>E412/179796.7</f>
        <v>0.88969549344059262</v>
      </c>
      <c r="H412">
        <v>15</v>
      </c>
      <c r="I412">
        <v>2.4400000000000002E-2</v>
      </c>
      <c r="J412">
        <f t="shared" ref="J412:J438" si="78">820/I412</f>
        <v>33606.557377049176</v>
      </c>
      <c r="K412">
        <f t="shared" ref="K412:K438" si="79">5-I412</f>
        <v>4.9756</v>
      </c>
      <c r="L412">
        <f t="shared" ref="L412:L438" si="80">J412*K412</f>
        <v>167212.78688524588</v>
      </c>
      <c r="M412">
        <f>L412/199180</f>
        <v>0.83950590865170138</v>
      </c>
      <c r="Y412">
        <v>147</v>
      </c>
      <c r="Z412">
        <f t="shared" si="74"/>
        <v>5.2590609262622906E-2</v>
      </c>
    </row>
    <row r="413" spans="1:26" x14ac:dyDescent="0.2">
      <c r="A413">
        <v>24</v>
      </c>
      <c r="B413">
        <v>2.7099999999999999E-2</v>
      </c>
      <c r="C413">
        <f t="shared" si="75"/>
        <v>30258.30258302583</v>
      </c>
      <c r="D413">
        <f t="shared" si="76"/>
        <v>4.9729000000000001</v>
      </c>
      <c r="E413">
        <f t="shared" si="77"/>
        <v>150471.51291512916</v>
      </c>
      <c r="F413">
        <f t="shared" ref="F413:F438" si="81">E413/179796.7</f>
        <v>0.83689807941485661</v>
      </c>
      <c r="H413">
        <v>25</v>
      </c>
      <c r="I413">
        <v>2.7E-2</v>
      </c>
      <c r="J413">
        <f t="shared" si="78"/>
        <v>30370.370370370372</v>
      </c>
      <c r="K413">
        <f t="shared" si="79"/>
        <v>4.9729999999999999</v>
      </c>
      <c r="L413">
        <f t="shared" si="80"/>
        <v>151031.85185185185</v>
      </c>
      <c r="M413">
        <f t="shared" ref="M413:M438" si="82">L413/199180</f>
        <v>0.75826815870997011</v>
      </c>
      <c r="Y413">
        <v>148</v>
      </c>
      <c r="Z413">
        <f t="shared" si="74"/>
        <v>5.2291251211894256E-2</v>
      </c>
    </row>
    <row r="414" spans="1:26" x14ac:dyDescent="0.2">
      <c r="A414">
        <v>35</v>
      </c>
      <c r="B414">
        <v>2.8799999999999999E-2</v>
      </c>
      <c r="C414">
        <f t="shared" si="75"/>
        <v>28472.222222222223</v>
      </c>
      <c r="D414">
        <f t="shared" si="76"/>
        <v>4.9711999999999996</v>
      </c>
      <c r="E414">
        <f t="shared" si="77"/>
        <v>141541.11111111109</v>
      </c>
      <c r="F414">
        <f t="shared" si="81"/>
        <v>0.78722863718361402</v>
      </c>
      <c r="H414">
        <v>30</v>
      </c>
      <c r="I414">
        <v>2.8400000000000002E-2</v>
      </c>
      <c r="J414">
        <f t="shared" si="78"/>
        <v>28873.239436619715</v>
      </c>
      <c r="K414">
        <f t="shared" si="79"/>
        <v>4.9715999999999996</v>
      </c>
      <c r="L414">
        <f t="shared" si="80"/>
        <v>143546.19718309856</v>
      </c>
      <c r="M414">
        <f t="shared" si="82"/>
        <v>0.72068579768600538</v>
      </c>
      <c r="Y414">
        <v>159</v>
      </c>
      <c r="Z414">
        <f t="shared" si="74"/>
        <v>4.9228093787523082E-2</v>
      </c>
    </row>
    <row r="415" spans="1:26" x14ac:dyDescent="0.2">
      <c r="A415">
        <v>46</v>
      </c>
      <c r="B415">
        <v>3.04E-2</v>
      </c>
      <c r="C415">
        <f t="shared" si="75"/>
        <v>26973.684210526317</v>
      </c>
      <c r="D415">
        <f t="shared" si="76"/>
        <v>4.9695999999999998</v>
      </c>
      <c r="E415">
        <f t="shared" si="77"/>
        <v>134048.42105263157</v>
      </c>
      <c r="F415">
        <f t="shared" si="81"/>
        <v>0.74555551382551277</v>
      </c>
      <c r="H415">
        <v>43</v>
      </c>
      <c r="I415">
        <v>3.1300000000000001E-2</v>
      </c>
      <c r="J415">
        <f t="shared" si="78"/>
        <v>26198.083067092652</v>
      </c>
      <c r="K415">
        <f t="shared" si="79"/>
        <v>4.9687000000000001</v>
      </c>
      <c r="L415">
        <f t="shared" si="80"/>
        <v>130170.41533546326</v>
      </c>
      <c r="M415">
        <f t="shared" si="82"/>
        <v>0.65353155605715063</v>
      </c>
      <c r="Y415">
        <v>165</v>
      </c>
      <c r="Z415">
        <f t="shared" si="74"/>
        <v>4.7716427074423688E-2</v>
      </c>
    </row>
    <row r="416" spans="1:26" x14ac:dyDescent="0.2">
      <c r="A416">
        <v>59</v>
      </c>
      <c r="B416">
        <v>3.1600000000000003E-2</v>
      </c>
      <c r="C416">
        <f t="shared" si="75"/>
        <v>25949.367088607592</v>
      </c>
      <c r="D416">
        <f t="shared" si="76"/>
        <v>4.9683999999999999</v>
      </c>
      <c r="E416">
        <f t="shared" si="77"/>
        <v>128926.83544303795</v>
      </c>
      <c r="F416">
        <f t="shared" si="81"/>
        <v>0.71707008773263325</v>
      </c>
      <c r="H416">
        <v>56</v>
      </c>
      <c r="I416">
        <v>3.3599999999999998E-2</v>
      </c>
      <c r="J416">
        <f t="shared" si="78"/>
        <v>24404.761904761905</v>
      </c>
      <c r="K416">
        <f t="shared" si="79"/>
        <v>4.9664000000000001</v>
      </c>
      <c r="L416">
        <f t="shared" si="80"/>
        <v>121203.80952380953</v>
      </c>
      <c r="M416">
        <f t="shared" si="82"/>
        <v>0.6085139548338665</v>
      </c>
      <c r="Y416">
        <v>168</v>
      </c>
      <c r="Z416">
        <f t="shared" si="74"/>
        <v>4.6997957348076595E-2</v>
      </c>
    </row>
    <row r="417" spans="1:26" x14ac:dyDescent="0.2">
      <c r="A417">
        <v>69</v>
      </c>
      <c r="B417">
        <v>3.27E-2</v>
      </c>
      <c r="C417">
        <f t="shared" si="75"/>
        <v>25076.45259938838</v>
      </c>
      <c r="D417">
        <f t="shared" si="76"/>
        <v>4.9672999999999998</v>
      </c>
      <c r="E417">
        <f t="shared" si="77"/>
        <v>124562.26299694189</v>
      </c>
      <c r="F417">
        <f t="shared" si="81"/>
        <v>0.69279504572076067</v>
      </c>
      <c r="H417">
        <v>64</v>
      </c>
      <c r="I417">
        <v>3.5299999999999998E-2</v>
      </c>
      <c r="J417">
        <f t="shared" si="78"/>
        <v>23229.461756373938</v>
      </c>
      <c r="K417">
        <f t="shared" si="79"/>
        <v>4.9646999999999997</v>
      </c>
      <c r="L417">
        <f t="shared" si="80"/>
        <v>115327.30878186968</v>
      </c>
      <c r="M417">
        <f t="shared" si="82"/>
        <v>0.57901048690566159</v>
      </c>
      <c r="Y417">
        <v>170</v>
      </c>
      <c r="Z417">
        <f t="shared" si="74"/>
        <v>4.6531966440812547E-2</v>
      </c>
    </row>
    <row r="418" spans="1:26" x14ac:dyDescent="0.2">
      <c r="A418">
        <v>79</v>
      </c>
      <c r="B418">
        <v>3.3500000000000002E-2</v>
      </c>
      <c r="C418">
        <f t="shared" si="75"/>
        <v>24477.611940298506</v>
      </c>
      <c r="D418">
        <f t="shared" si="76"/>
        <v>4.9664999999999999</v>
      </c>
      <c r="E418">
        <f t="shared" si="77"/>
        <v>121568.05970149253</v>
      </c>
      <c r="F418">
        <f t="shared" si="81"/>
        <v>0.67614177402306341</v>
      </c>
      <c r="H418">
        <v>73</v>
      </c>
      <c r="I418">
        <v>3.6799999999999999E-2</v>
      </c>
      <c r="J418">
        <f t="shared" si="78"/>
        <v>22282.608695652176</v>
      </c>
      <c r="K418">
        <f t="shared" si="79"/>
        <v>4.9631999999999996</v>
      </c>
      <c r="L418">
        <f t="shared" si="80"/>
        <v>110593.04347826086</v>
      </c>
      <c r="M418">
        <f t="shared" si="82"/>
        <v>0.55524170839572684</v>
      </c>
      <c r="Y418">
        <v>178</v>
      </c>
      <c r="Z418">
        <f t="shared" si="74"/>
        <v>4.4764708012818739E-2</v>
      </c>
    </row>
    <row r="419" spans="1:26" x14ac:dyDescent="0.2">
      <c r="A419">
        <v>90</v>
      </c>
      <c r="B419">
        <v>3.49E-2</v>
      </c>
      <c r="C419">
        <f t="shared" si="75"/>
        <v>23495.702005730658</v>
      </c>
      <c r="D419">
        <f t="shared" si="76"/>
        <v>4.9650999999999996</v>
      </c>
      <c r="E419">
        <f t="shared" si="77"/>
        <v>116658.51002865328</v>
      </c>
      <c r="F419">
        <f t="shared" si="81"/>
        <v>0.64883565732103687</v>
      </c>
      <c r="H419">
        <v>82</v>
      </c>
      <c r="I419">
        <v>3.8199999999999998E-2</v>
      </c>
      <c r="J419">
        <f t="shared" si="78"/>
        <v>21465.968586387437</v>
      </c>
      <c r="K419">
        <f t="shared" si="79"/>
        <v>4.9618000000000002</v>
      </c>
      <c r="L419">
        <f t="shared" si="80"/>
        <v>106509.84293193719</v>
      </c>
      <c r="M419">
        <f t="shared" si="82"/>
        <v>0.53474165544701879</v>
      </c>
      <c r="Y419">
        <v>182</v>
      </c>
      <c r="Z419">
        <f t="shared" si="74"/>
        <v>4.393486429718526E-2</v>
      </c>
    </row>
    <row r="420" spans="1:26" x14ac:dyDescent="0.2">
      <c r="A420">
        <v>101</v>
      </c>
      <c r="B420">
        <v>3.5499999999999997E-2</v>
      </c>
      <c r="C420">
        <f t="shared" si="75"/>
        <v>23098.591549295776</v>
      </c>
      <c r="D420">
        <f t="shared" si="76"/>
        <v>4.9645000000000001</v>
      </c>
      <c r="E420">
        <f t="shared" si="77"/>
        <v>114672.95774647887</v>
      </c>
      <c r="F420">
        <f t="shared" si="81"/>
        <v>0.6377923384938593</v>
      </c>
      <c r="H420">
        <v>90</v>
      </c>
      <c r="I420">
        <v>3.9399999999999998E-2</v>
      </c>
      <c r="J420">
        <f t="shared" si="78"/>
        <v>20812.182741116754</v>
      </c>
      <c r="K420">
        <f t="shared" si="79"/>
        <v>4.9606000000000003</v>
      </c>
      <c r="L420">
        <f t="shared" si="80"/>
        <v>103240.91370558378</v>
      </c>
      <c r="M420">
        <f t="shared" si="82"/>
        <v>0.51832972038148295</v>
      </c>
      <c r="Y420">
        <v>183</v>
      </c>
      <c r="Z420">
        <f t="shared" si="74"/>
        <v>4.3732628454312979E-2</v>
      </c>
    </row>
    <row r="421" spans="1:26" x14ac:dyDescent="0.2">
      <c r="A421">
        <v>112</v>
      </c>
      <c r="B421">
        <v>3.5900000000000001E-2</v>
      </c>
      <c r="C421">
        <f t="shared" si="75"/>
        <v>22841.225626740947</v>
      </c>
      <c r="D421">
        <f t="shared" si="76"/>
        <v>4.9641000000000002</v>
      </c>
      <c r="E421">
        <f t="shared" si="77"/>
        <v>113386.12813370474</v>
      </c>
      <c r="F421">
        <f t="shared" si="81"/>
        <v>0.63063520150094377</v>
      </c>
      <c r="H421">
        <v>98</v>
      </c>
      <c r="I421">
        <v>4.1300000000000003E-2</v>
      </c>
      <c r="J421">
        <f t="shared" si="78"/>
        <v>19854.721549636801</v>
      </c>
      <c r="K421">
        <f t="shared" si="79"/>
        <v>4.9587000000000003</v>
      </c>
      <c r="L421">
        <f t="shared" si="80"/>
        <v>98453.607748184004</v>
      </c>
      <c r="M421">
        <f t="shared" si="82"/>
        <v>0.49429464679277035</v>
      </c>
      <c r="Y421">
        <v>188</v>
      </c>
      <c r="Z421">
        <f t="shared" si="74"/>
        <v>4.2751217650985468E-2</v>
      </c>
    </row>
    <row r="422" spans="1:26" x14ac:dyDescent="0.2">
      <c r="A422">
        <v>123</v>
      </c>
      <c r="B422">
        <v>3.61E-2</v>
      </c>
      <c r="C422">
        <f t="shared" si="75"/>
        <v>22714.681440443212</v>
      </c>
      <c r="D422">
        <f t="shared" si="76"/>
        <v>4.9638999999999998</v>
      </c>
      <c r="E422">
        <f t="shared" si="77"/>
        <v>112753.40720221605</v>
      </c>
      <c r="F422">
        <f t="shared" si="81"/>
        <v>0.62711611059722483</v>
      </c>
      <c r="H422">
        <v>107</v>
      </c>
      <c r="I422">
        <v>4.2299999999999997E-2</v>
      </c>
      <c r="J422">
        <f t="shared" si="78"/>
        <v>19385.342789598111</v>
      </c>
      <c r="K422">
        <f t="shared" si="79"/>
        <v>4.9577</v>
      </c>
      <c r="L422">
        <f t="shared" si="80"/>
        <v>96106.71394799056</v>
      </c>
      <c r="M422">
        <f t="shared" si="82"/>
        <v>0.48251186840039439</v>
      </c>
      <c r="Y422">
        <v>195</v>
      </c>
      <c r="Z422">
        <f t="shared" si="74"/>
        <v>4.1455318411484809E-2</v>
      </c>
    </row>
    <row r="423" spans="1:26" x14ac:dyDescent="0.2">
      <c r="A423">
        <v>133</v>
      </c>
      <c r="B423">
        <v>3.6400000000000002E-2</v>
      </c>
      <c r="C423">
        <f t="shared" si="75"/>
        <v>22527.472527472528</v>
      </c>
      <c r="D423">
        <f t="shared" si="76"/>
        <v>4.9635999999999996</v>
      </c>
      <c r="E423">
        <f t="shared" si="77"/>
        <v>111817.36263736263</v>
      </c>
      <c r="F423">
        <f t="shared" si="81"/>
        <v>0.62190998298279454</v>
      </c>
      <c r="H423">
        <v>115</v>
      </c>
      <c r="I423">
        <v>4.2999999999999997E-2</v>
      </c>
      <c r="J423">
        <f t="shared" si="78"/>
        <v>19069.767441860466</v>
      </c>
      <c r="K423">
        <f t="shared" si="79"/>
        <v>4.9569999999999999</v>
      </c>
      <c r="L423">
        <f t="shared" si="80"/>
        <v>94528.837209302321</v>
      </c>
      <c r="M423">
        <f t="shared" si="82"/>
        <v>0.47459000506728749</v>
      </c>
      <c r="Y423">
        <v>197</v>
      </c>
      <c r="Z423">
        <f t="shared" si="74"/>
        <v>4.1100663755743054E-2</v>
      </c>
    </row>
    <row r="424" spans="1:26" x14ac:dyDescent="0.2">
      <c r="A424">
        <v>143</v>
      </c>
      <c r="B424">
        <v>3.6600000000000001E-2</v>
      </c>
      <c r="C424">
        <f t="shared" si="75"/>
        <v>22404.371584699453</v>
      </c>
      <c r="D424">
        <f t="shared" si="76"/>
        <v>4.9634</v>
      </c>
      <c r="E424">
        <f t="shared" si="77"/>
        <v>111201.85792349727</v>
      </c>
      <c r="F424">
        <f t="shared" si="81"/>
        <v>0.61848664588113833</v>
      </c>
      <c r="H424">
        <v>122</v>
      </c>
      <c r="I424">
        <v>4.3900000000000002E-2</v>
      </c>
      <c r="J424">
        <f t="shared" si="78"/>
        <v>18678.815489749431</v>
      </c>
      <c r="K424">
        <f t="shared" si="79"/>
        <v>4.9561000000000002</v>
      </c>
      <c r="L424">
        <f t="shared" si="80"/>
        <v>92574.077448747164</v>
      </c>
      <c r="M424">
        <f t="shared" si="82"/>
        <v>0.46477596871546922</v>
      </c>
      <c r="Y424">
        <v>199</v>
      </c>
      <c r="Z424">
        <f t="shared" si="74"/>
        <v>4.0752579908705455E-2</v>
      </c>
    </row>
    <row r="425" spans="1:26" x14ac:dyDescent="0.2">
      <c r="A425">
        <v>150</v>
      </c>
      <c r="B425">
        <v>3.6900000000000002E-2</v>
      </c>
      <c r="C425">
        <f t="shared" si="75"/>
        <v>22222.222222222223</v>
      </c>
      <c r="D425">
        <f t="shared" si="76"/>
        <v>4.9630999999999998</v>
      </c>
      <c r="E425">
        <f t="shared" si="77"/>
        <v>110291.11111111111</v>
      </c>
      <c r="F425">
        <f t="shared" si="81"/>
        <v>0.61342122025104517</v>
      </c>
      <c r="H425">
        <v>128</v>
      </c>
      <c r="I425">
        <v>4.4499999999999998E-2</v>
      </c>
      <c r="J425">
        <f t="shared" si="78"/>
        <v>18426.966292134832</v>
      </c>
      <c r="K425">
        <f t="shared" si="79"/>
        <v>4.9554999999999998</v>
      </c>
      <c r="L425">
        <f t="shared" si="80"/>
        <v>91314.831460674148</v>
      </c>
      <c r="M425">
        <f t="shared" si="82"/>
        <v>0.45845381795699441</v>
      </c>
      <c r="Y425">
        <v>204</v>
      </c>
      <c r="Z425">
        <f t="shared" si="74"/>
        <v>3.9909914467632333E-2</v>
      </c>
    </row>
    <row r="426" spans="1:26" x14ac:dyDescent="0.2">
      <c r="A426">
        <v>166</v>
      </c>
      <c r="B426">
        <v>3.7100000000000001E-2</v>
      </c>
      <c r="C426">
        <f t="shared" si="75"/>
        <v>22102.42587601078</v>
      </c>
      <c r="D426">
        <f t="shared" si="76"/>
        <v>4.9629000000000003</v>
      </c>
      <c r="E426">
        <f t="shared" si="77"/>
        <v>109692.12938005391</v>
      </c>
      <c r="F426">
        <f t="shared" si="81"/>
        <v>0.61008978129217006</v>
      </c>
      <c r="H426">
        <v>134</v>
      </c>
      <c r="I426">
        <v>4.5199999999999997E-2</v>
      </c>
      <c r="J426">
        <f t="shared" si="78"/>
        <v>18141.592920353982</v>
      </c>
      <c r="K426">
        <f t="shared" si="79"/>
        <v>4.9547999999999996</v>
      </c>
      <c r="L426">
        <f t="shared" si="80"/>
        <v>89887.964601769898</v>
      </c>
      <c r="M426">
        <f t="shared" si="82"/>
        <v>0.45129011246997641</v>
      </c>
      <c r="Y426">
        <v>208</v>
      </c>
      <c r="Z426">
        <f t="shared" si="74"/>
        <v>3.9262691710251228E-2</v>
      </c>
    </row>
    <row r="427" spans="1:26" x14ac:dyDescent="0.2">
      <c r="A427">
        <v>177</v>
      </c>
      <c r="B427">
        <v>3.7600000000000001E-2</v>
      </c>
      <c r="C427">
        <f t="shared" si="75"/>
        <v>21808.51063829787</v>
      </c>
      <c r="D427">
        <f t="shared" si="76"/>
        <v>4.9623999999999997</v>
      </c>
      <c r="E427">
        <f t="shared" si="77"/>
        <v>108222.55319148935</v>
      </c>
      <c r="F427">
        <f t="shared" si="81"/>
        <v>0.60191623756992951</v>
      </c>
      <c r="H427">
        <v>141</v>
      </c>
      <c r="I427">
        <v>4.5999999999999999E-2</v>
      </c>
      <c r="J427">
        <f t="shared" si="78"/>
        <v>17826.08695652174</v>
      </c>
      <c r="K427">
        <f t="shared" si="79"/>
        <v>4.9539999999999997</v>
      </c>
      <c r="L427">
        <f t="shared" si="80"/>
        <v>88310.434782608689</v>
      </c>
      <c r="M427">
        <f t="shared" si="82"/>
        <v>0.44336999087563356</v>
      </c>
      <c r="Y427">
        <v>213</v>
      </c>
      <c r="Z427">
        <f t="shared" si="74"/>
        <v>3.8485202132614769E-2</v>
      </c>
    </row>
    <row r="428" spans="1:26" x14ac:dyDescent="0.2">
      <c r="A428">
        <v>199</v>
      </c>
      <c r="B428">
        <v>3.78E-2</v>
      </c>
      <c r="C428">
        <f t="shared" si="75"/>
        <v>21693.121693121691</v>
      </c>
      <c r="D428">
        <f t="shared" si="76"/>
        <v>4.9622000000000002</v>
      </c>
      <c r="E428">
        <f t="shared" si="77"/>
        <v>107645.60846560846</v>
      </c>
      <c r="F428">
        <f t="shared" si="81"/>
        <v>0.59870736484934628</v>
      </c>
      <c r="H428">
        <v>147</v>
      </c>
      <c r="I428">
        <v>4.6600000000000003E-2</v>
      </c>
      <c r="J428">
        <f t="shared" si="78"/>
        <v>17596.56652360515</v>
      </c>
      <c r="K428">
        <f t="shared" si="79"/>
        <v>4.9534000000000002</v>
      </c>
      <c r="L428">
        <f t="shared" si="80"/>
        <v>87162.832618025757</v>
      </c>
      <c r="M428">
        <f t="shared" si="82"/>
        <v>0.43760835735528547</v>
      </c>
      <c r="Y428">
        <v>220</v>
      </c>
      <c r="Z428">
        <f t="shared" si="74"/>
        <v>3.7451524498891706E-2</v>
      </c>
    </row>
    <row r="429" spans="1:26" x14ac:dyDescent="0.2">
      <c r="A429">
        <v>201</v>
      </c>
      <c r="B429">
        <v>3.6999999999999998E-2</v>
      </c>
      <c r="C429">
        <f t="shared" si="75"/>
        <v>22162.162162162163</v>
      </c>
      <c r="D429">
        <f t="shared" si="76"/>
        <v>4.9630000000000001</v>
      </c>
      <c r="E429">
        <f t="shared" si="77"/>
        <v>109990.81081081081</v>
      </c>
      <c r="F429">
        <f t="shared" si="81"/>
        <v>0.61175099882706863</v>
      </c>
      <c r="H429">
        <v>153</v>
      </c>
      <c r="I429">
        <v>4.7300000000000002E-2</v>
      </c>
      <c r="J429">
        <f t="shared" si="78"/>
        <v>17336.152219873151</v>
      </c>
      <c r="K429">
        <f t="shared" si="79"/>
        <v>4.9527000000000001</v>
      </c>
      <c r="L429">
        <f t="shared" si="80"/>
        <v>85860.761099365758</v>
      </c>
      <c r="M429">
        <f t="shared" si="82"/>
        <v>0.43107119740619421</v>
      </c>
      <c r="Y429">
        <v>222</v>
      </c>
      <c r="Z429">
        <f t="shared" si="74"/>
        <v>3.7167229856519948E-2</v>
      </c>
    </row>
    <row r="430" spans="1:26" x14ac:dyDescent="0.2">
      <c r="A430">
        <v>212</v>
      </c>
      <c r="B430">
        <v>3.7400000000000003E-2</v>
      </c>
      <c r="C430">
        <f t="shared" si="75"/>
        <v>21925.133689839571</v>
      </c>
      <c r="D430">
        <f t="shared" si="76"/>
        <v>4.9626000000000001</v>
      </c>
      <c r="E430">
        <f t="shared" si="77"/>
        <v>108805.66844919785</v>
      </c>
      <c r="F430">
        <f t="shared" si="81"/>
        <v>0.6051594297848506</v>
      </c>
      <c r="H430">
        <v>160</v>
      </c>
      <c r="I430">
        <v>4.82E-2</v>
      </c>
      <c r="J430">
        <f t="shared" si="78"/>
        <v>17012.448132780082</v>
      </c>
      <c r="K430">
        <f t="shared" si="79"/>
        <v>4.9518000000000004</v>
      </c>
      <c r="L430">
        <f t="shared" si="80"/>
        <v>84242.240663900418</v>
      </c>
      <c r="M430">
        <f t="shared" si="82"/>
        <v>0.4229452789632514</v>
      </c>
      <c r="Y430">
        <v>223</v>
      </c>
      <c r="Z430">
        <f t="shared" si="74"/>
        <v>3.7026844595187368E-2</v>
      </c>
    </row>
    <row r="431" spans="1:26" x14ac:dyDescent="0.2">
      <c r="A431">
        <v>381</v>
      </c>
      <c r="B431">
        <v>4.2000000000000003E-2</v>
      </c>
      <c r="C431">
        <f t="shared" si="75"/>
        <v>19523.809523809523</v>
      </c>
      <c r="D431">
        <f t="shared" si="76"/>
        <v>4.9580000000000002</v>
      </c>
      <c r="E431">
        <f t="shared" si="77"/>
        <v>96799.047619047618</v>
      </c>
      <c r="F431">
        <f t="shared" si="81"/>
        <v>0.53838055770238058</v>
      </c>
      <c r="H431">
        <v>166</v>
      </c>
      <c r="I431">
        <v>5.0099999999999999E-2</v>
      </c>
      <c r="J431">
        <f t="shared" si="78"/>
        <v>16367.265469061877</v>
      </c>
      <c r="K431">
        <f t="shared" si="79"/>
        <v>4.9499000000000004</v>
      </c>
      <c r="L431">
        <f t="shared" si="80"/>
        <v>81016.327345309386</v>
      </c>
      <c r="M431">
        <f t="shared" si="82"/>
        <v>0.40674930889300825</v>
      </c>
      <c r="Y431">
        <v>229</v>
      </c>
      <c r="Z431">
        <f t="shared" si="74"/>
        <v>3.6208282237394043E-2</v>
      </c>
    </row>
    <row r="432" spans="1:26" x14ac:dyDescent="0.2">
      <c r="A432">
        <v>505</v>
      </c>
      <c r="B432">
        <v>4.2599999999999999E-2</v>
      </c>
      <c r="C432">
        <f t="shared" si="75"/>
        <v>19248.826291079811</v>
      </c>
      <c r="D432">
        <f t="shared" si="76"/>
        <v>4.9573999999999998</v>
      </c>
      <c r="E432">
        <f t="shared" si="77"/>
        <v>95424.131455399052</v>
      </c>
      <c r="F432">
        <f t="shared" si="81"/>
        <v>0.53073349764149758</v>
      </c>
      <c r="H432">
        <v>248</v>
      </c>
      <c r="I432">
        <v>5.21E-2</v>
      </c>
      <c r="J432">
        <f t="shared" si="78"/>
        <v>15738.963531669866</v>
      </c>
      <c r="K432">
        <f t="shared" si="79"/>
        <v>4.9478999999999997</v>
      </c>
      <c r="L432">
        <f t="shared" si="80"/>
        <v>77874.817658349319</v>
      </c>
      <c r="M432">
        <f t="shared" si="82"/>
        <v>0.39097709437869926</v>
      </c>
      <c r="Y432">
        <v>238</v>
      </c>
      <c r="Z432">
        <f t="shared" si="74"/>
        <v>3.5051902917274357E-2</v>
      </c>
    </row>
    <row r="433" spans="1:26" x14ac:dyDescent="0.2">
      <c r="A433">
        <v>501</v>
      </c>
      <c r="B433">
        <v>3.3599999999999998E-2</v>
      </c>
      <c r="C433">
        <f t="shared" si="75"/>
        <v>24404.761904761905</v>
      </c>
      <c r="D433">
        <f t="shared" si="76"/>
        <v>4.9664000000000001</v>
      </c>
      <c r="E433">
        <f t="shared" si="77"/>
        <v>121203.80952380953</v>
      </c>
      <c r="F433">
        <f t="shared" si="81"/>
        <v>0.67411587378305338</v>
      </c>
      <c r="H433">
        <v>286</v>
      </c>
      <c r="I433">
        <v>5.1799999999999999E-2</v>
      </c>
      <c r="J433">
        <f t="shared" si="78"/>
        <v>15830.11583011583</v>
      </c>
      <c r="K433">
        <f t="shared" si="79"/>
        <v>4.9481999999999999</v>
      </c>
      <c r="L433">
        <f t="shared" si="80"/>
        <v>78330.579150579157</v>
      </c>
      <c r="M433">
        <f t="shared" si="82"/>
        <v>0.39326528341489686</v>
      </c>
      <c r="Y433">
        <v>239</v>
      </c>
      <c r="Z433">
        <f t="shared" si="74"/>
        <v>3.4928373738935065E-2</v>
      </c>
    </row>
    <row r="434" spans="1:26" x14ac:dyDescent="0.2">
      <c r="A434">
        <v>550</v>
      </c>
      <c r="B434">
        <v>3.3500000000000002E-2</v>
      </c>
      <c r="C434">
        <f t="shared" si="75"/>
        <v>24477.611940298506</v>
      </c>
      <c r="D434">
        <f t="shared" si="76"/>
        <v>4.9664999999999999</v>
      </c>
      <c r="E434">
        <f t="shared" si="77"/>
        <v>121568.05970149253</v>
      </c>
      <c r="F434">
        <f t="shared" si="81"/>
        <v>0.67614177402306341</v>
      </c>
      <c r="H434">
        <v>288</v>
      </c>
      <c r="I434">
        <v>5.1400000000000001E-2</v>
      </c>
      <c r="J434">
        <f t="shared" si="78"/>
        <v>15953.307392996108</v>
      </c>
      <c r="K434">
        <f t="shared" si="79"/>
        <v>4.9485999999999999</v>
      </c>
      <c r="L434">
        <f t="shared" si="80"/>
        <v>78946.536964980536</v>
      </c>
      <c r="M434">
        <f t="shared" si="82"/>
        <v>0.39635775160648928</v>
      </c>
      <c r="Y434">
        <v>252</v>
      </c>
      <c r="Z434">
        <f t="shared" si="74"/>
        <v>3.3404897436180636E-2</v>
      </c>
    </row>
    <row r="435" spans="1:26" x14ac:dyDescent="0.2">
      <c r="A435">
        <v>499</v>
      </c>
      <c r="B435">
        <v>3.3399999999999999E-2</v>
      </c>
      <c r="C435">
        <f t="shared" si="75"/>
        <v>24550.898203592817</v>
      </c>
      <c r="D435">
        <f t="shared" si="76"/>
        <v>4.9665999999999997</v>
      </c>
      <c r="E435">
        <f t="shared" si="77"/>
        <v>121934.49101796407</v>
      </c>
      <c r="F435">
        <f t="shared" si="81"/>
        <v>0.67817980540223521</v>
      </c>
      <c r="H435">
        <v>287</v>
      </c>
      <c r="I435">
        <v>5.1200000000000002E-2</v>
      </c>
      <c r="J435">
        <f t="shared" si="78"/>
        <v>16015.625</v>
      </c>
      <c r="K435">
        <f t="shared" si="79"/>
        <v>4.9488000000000003</v>
      </c>
      <c r="L435">
        <f t="shared" si="80"/>
        <v>79258.125</v>
      </c>
      <c r="M435">
        <f t="shared" si="82"/>
        <v>0.39792210563309571</v>
      </c>
      <c r="Y435">
        <v>253</v>
      </c>
      <c r="Z435">
        <f t="shared" si="74"/>
        <v>3.3293689057584154E-2</v>
      </c>
    </row>
    <row r="436" spans="1:26" x14ac:dyDescent="0.2">
      <c r="A436">
        <v>499</v>
      </c>
      <c r="B436">
        <v>3.32E-2</v>
      </c>
      <c r="C436">
        <f t="shared" si="75"/>
        <v>24698.795180722893</v>
      </c>
      <c r="D436">
        <f t="shared" si="76"/>
        <v>4.9668000000000001</v>
      </c>
      <c r="E436">
        <f t="shared" si="77"/>
        <v>122673.97590361447</v>
      </c>
      <c r="F436">
        <f t="shared" si="81"/>
        <v>0.68229270005297349</v>
      </c>
      <c r="H436">
        <v>286</v>
      </c>
      <c r="I436">
        <v>5.11E-2</v>
      </c>
      <c r="J436">
        <f t="shared" si="78"/>
        <v>16046.966731898239</v>
      </c>
      <c r="K436">
        <f t="shared" si="79"/>
        <v>4.9489000000000001</v>
      </c>
      <c r="L436">
        <f t="shared" si="80"/>
        <v>79414.833659491196</v>
      </c>
      <c r="M436">
        <f t="shared" si="82"/>
        <v>0.39870887468365901</v>
      </c>
      <c r="Y436">
        <v>265</v>
      </c>
      <c r="Z436">
        <f t="shared" si="74"/>
        <v>3.201963464411739E-2</v>
      </c>
    </row>
    <row r="437" spans="1:26" x14ac:dyDescent="0.2">
      <c r="A437">
        <v>499</v>
      </c>
      <c r="B437">
        <v>3.3099999999999997E-2</v>
      </c>
      <c r="C437">
        <f t="shared" si="75"/>
        <v>24773.413897280967</v>
      </c>
      <c r="D437">
        <f t="shared" si="76"/>
        <v>4.9668999999999999</v>
      </c>
      <c r="E437">
        <f t="shared" si="77"/>
        <v>123047.06948640483</v>
      </c>
      <c r="F437">
        <f t="shared" si="81"/>
        <v>0.68436778587373859</v>
      </c>
      <c r="H437">
        <v>286</v>
      </c>
      <c r="I437">
        <v>5.0999999999999997E-2</v>
      </c>
      <c r="J437">
        <f t="shared" si="78"/>
        <v>16078.431372549021</v>
      </c>
      <c r="K437">
        <f t="shared" si="79"/>
        <v>4.9489999999999998</v>
      </c>
      <c r="L437">
        <f t="shared" si="80"/>
        <v>79572.156862745105</v>
      </c>
      <c r="M437">
        <f t="shared" si="82"/>
        <v>0.39949872910304801</v>
      </c>
      <c r="Y437">
        <v>273</v>
      </c>
      <c r="Z437">
        <f t="shared" si="74"/>
        <v>3.1227732406545781E-2</v>
      </c>
    </row>
    <row r="438" spans="1:26" x14ac:dyDescent="0.2">
      <c r="A438">
        <v>498</v>
      </c>
      <c r="B438">
        <v>3.2899999999999999E-2</v>
      </c>
      <c r="C438">
        <f t="shared" si="75"/>
        <v>24924.012158054713</v>
      </c>
      <c r="D438">
        <f t="shared" si="76"/>
        <v>4.9671000000000003</v>
      </c>
      <c r="E438">
        <f t="shared" si="77"/>
        <v>123800.06079027356</v>
      </c>
      <c r="F438">
        <f t="shared" si="81"/>
        <v>0.68855580102567826</v>
      </c>
      <c r="H438">
        <v>286</v>
      </c>
      <c r="I438">
        <v>5.0900000000000001E-2</v>
      </c>
      <c r="J438">
        <f t="shared" si="78"/>
        <v>16110.019646365423</v>
      </c>
      <c r="K438">
        <f t="shared" si="79"/>
        <v>4.9490999999999996</v>
      </c>
      <c r="L438">
        <f t="shared" si="80"/>
        <v>79730.098231827113</v>
      </c>
      <c r="M438">
        <f t="shared" si="82"/>
        <v>0.40029168707614776</v>
      </c>
      <c r="Y438">
        <v>282</v>
      </c>
      <c r="Z438">
        <f t="shared" si="74"/>
        <v>3.0386427868049643E-2</v>
      </c>
    </row>
    <row r="439" spans="1:26" x14ac:dyDescent="0.2">
      <c r="Y439">
        <v>288</v>
      </c>
      <c r="Z439">
        <f t="shared" si="74"/>
        <v>2.9852514867864298E-2</v>
      </c>
    </row>
    <row r="440" spans="1:26" x14ac:dyDescent="0.2">
      <c r="Y440">
        <v>300</v>
      </c>
      <c r="Z440">
        <f t="shared" si="74"/>
        <v>2.8843854858190889E-2</v>
      </c>
    </row>
    <row r="441" spans="1:26" x14ac:dyDescent="0.2">
      <c r="Y441">
        <v>304</v>
      </c>
      <c r="Z441">
        <f t="shared" si="74"/>
        <v>2.8523961435402447E-2</v>
      </c>
    </row>
    <row r="442" spans="1:26" x14ac:dyDescent="0.2">
      <c r="Y442">
        <v>316</v>
      </c>
      <c r="Z442">
        <f t="shared" si="74"/>
        <v>2.7609139712355353E-2</v>
      </c>
    </row>
    <row r="443" spans="1:26" x14ac:dyDescent="0.2">
      <c r="Y443">
        <v>320</v>
      </c>
      <c r="Z443">
        <f t="shared" si="74"/>
        <v>2.7318265169050952E-2</v>
      </c>
    </row>
    <row r="444" spans="1:26" x14ac:dyDescent="0.2">
      <c r="Y444">
        <v>332</v>
      </c>
      <c r="Z444">
        <f t="shared" si="74"/>
        <v>2.6484460556888734E-2</v>
      </c>
    </row>
    <row r="445" spans="1:26" x14ac:dyDescent="0.2">
      <c r="Y445">
        <v>336</v>
      </c>
      <c r="Z445">
        <f t="shared" si="74"/>
        <v>2.621873454110028E-2</v>
      </c>
    </row>
    <row r="446" spans="1:26" x14ac:dyDescent="0.2">
      <c r="Y446">
        <v>351</v>
      </c>
      <c r="Z446">
        <f t="shared" si="74"/>
        <v>2.5272069424450122E-2</v>
      </c>
    </row>
    <row r="447" spans="1:26" x14ac:dyDescent="0.2">
      <c r="Y447">
        <v>452</v>
      </c>
      <c r="Z447">
        <f t="shared" si="74"/>
        <v>2.0425036245810949E-2</v>
      </c>
    </row>
    <row r="448" spans="1:26" x14ac:dyDescent="0.2">
      <c r="Y448">
        <v>491</v>
      </c>
      <c r="Z448">
        <f t="shared" si="74"/>
        <v>1.905016675620487E-2</v>
      </c>
    </row>
    <row r="449" spans="25:26" x14ac:dyDescent="0.2">
      <c r="Y449">
        <v>493</v>
      </c>
      <c r="Z449">
        <f t="shared" si="74"/>
        <v>1.8985073899564421E-2</v>
      </c>
    </row>
    <row r="450" spans="25:26" x14ac:dyDescent="0.2">
      <c r="Y450">
        <v>565</v>
      </c>
      <c r="Z450">
        <f t="shared" si="74"/>
        <v>1.6926400200886954E-2</v>
      </c>
    </row>
    <row r="451" spans="25:26" x14ac:dyDescent="0.2">
      <c r="Y451">
        <v>649</v>
      </c>
      <c r="Z451">
        <f t="shared" si="74"/>
        <v>1.5061886246179775E-2</v>
      </c>
    </row>
    <row r="452" spans="25:26" x14ac:dyDescent="0.2">
      <c r="Y452">
        <v>675</v>
      </c>
      <c r="Z452">
        <f>3.5139*Y452^-0.842</f>
        <v>1.4571881178690804E-2</v>
      </c>
    </row>
  </sheetData>
  <mergeCells count="2">
    <mergeCell ref="A15:C15"/>
    <mergeCell ref="G15:I15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Valavan A.</dc:creator>
  <cp:lastModifiedBy>Valavan A.</cp:lastModifiedBy>
  <dcterms:created xsi:type="dcterms:W3CDTF">2019-01-29T16:28:59Z</dcterms:created>
  <dcterms:modified xsi:type="dcterms:W3CDTF">2019-10-02T15:51:46Z</dcterms:modified>
</cp:coreProperties>
</file>